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Subhash.Chennuri\Box Sync\WASHPaLS\Deliverables\Dissemination\20191009 - UNC 2019\03. Game\Final\Distribution-Beta\"/>
    </mc:Choice>
  </mc:AlternateContent>
  <bookViews>
    <workbookView xWindow="0" yWindow="0" windowWidth="20490" windowHeight="7770" tabRatio="746" activeTab="3"/>
  </bookViews>
  <sheets>
    <sheet name="Cover page" sheetId="3" r:id="rId1"/>
    <sheet name="Overview and instructions" sheetId="4" r:id="rId2"/>
    <sheet name="Dashboard" sheetId="12" r:id="rId3"/>
    <sheet name="Assumptions and Calculations" sheetId="6" r:id="rId4"/>
  </sheets>
  <definedNames>
    <definedName name="_xlnm._FilterDatabase" localSheetId="3" hidden="1">'Assumptions and Calculations'!$C$99:$M$135</definedName>
    <definedName name="_xlnm.Print_Area" localSheetId="0">'Cover page'!$A$1:$AA$47</definedName>
    <definedName name="_xlnm.Print_Area" localSheetId="1">'Overview and instructions'!$A$3:$B$23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9" i="12" l="1"/>
  <c r="D73" i="6" l="1"/>
  <c r="J33" i="6"/>
  <c r="J32" i="6"/>
  <c r="F33" i="6"/>
  <c r="F34" i="6"/>
  <c r="F35" i="6"/>
  <c r="F36" i="6"/>
  <c r="F37" i="6"/>
  <c r="F38" i="6"/>
  <c r="F39" i="6"/>
  <c r="F32" i="6"/>
  <c r="E203" i="6" l="1"/>
  <c r="E202" i="6"/>
  <c r="E201" i="6"/>
  <c r="E200" i="6"/>
  <c r="E199" i="6"/>
  <c r="D199" i="6" s="1"/>
  <c r="E143" i="6"/>
  <c r="E142" i="6"/>
  <c r="E141" i="6"/>
  <c r="E140" i="6"/>
  <c r="E139" i="6"/>
  <c r="E250" i="6" l="1"/>
  <c r="M105" i="6"/>
  <c r="M113" i="6"/>
  <c r="M129" i="6"/>
  <c r="M133" i="6"/>
  <c r="H113" i="6"/>
  <c r="H33" i="6"/>
  <c r="H117" i="6" s="1"/>
  <c r="H129" i="6"/>
  <c r="M135" i="6"/>
  <c r="M131" i="6"/>
  <c r="M134" i="6"/>
  <c r="M132" i="6"/>
  <c r="M130" i="6"/>
  <c r="M128" i="6"/>
  <c r="M127" i="6"/>
  <c r="M123" i="6"/>
  <c r="M122" i="6"/>
  <c r="M121" i="6"/>
  <c r="M119" i="6"/>
  <c r="M118" i="6"/>
  <c r="M117" i="6"/>
  <c r="M115" i="6"/>
  <c r="M114" i="6"/>
  <c r="M120" i="6"/>
  <c r="M111" i="6"/>
  <c r="M110" i="6"/>
  <c r="M109" i="6"/>
  <c r="M108" i="6"/>
  <c r="M107" i="6"/>
  <c r="M106" i="6"/>
  <c r="M104" i="6"/>
  <c r="M100" i="6"/>
  <c r="M112" i="6"/>
  <c r="M116" i="6"/>
  <c r="H131" i="6"/>
  <c r="H130" i="6"/>
  <c r="H128" i="6"/>
  <c r="H119" i="6"/>
  <c r="H118" i="6"/>
  <c r="H116" i="6"/>
  <c r="H112" i="6"/>
  <c r="H127" i="6"/>
  <c r="H126" i="6"/>
  <c r="H115" i="6"/>
  <c r="H114" i="6"/>
  <c r="H125" i="6"/>
  <c r="F73" i="6" l="1"/>
  <c r="E73" i="6"/>
  <c r="E71" i="6" s="1"/>
  <c r="G71" i="6"/>
  <c r="F71" i="6"/>
  <c r="D71" i="6" l="1"/>
  <c r="B255" i="6" l="1"/>
  <c r="B251" i="6"/>
  <c r="B252" i="6"/>
  <c r="B253" i="6"/>
  <c r="B250" i="6"/>
  <c r="B247" i="6"/>
  <c r="B245" i="6"/>
  <c r="B240" i="6"/>
  <c r="B241" i="6"/>
  <c r="B242" i="6"/>
  <c r="B243" i="6"/>
  <c r="B239" i="6"/>
  <c r="B234" i="6"/>
  <c r="B235" i="6"/>
  <c r="B236" i="6"/>
  <c r="B233" i="6"/>
  <c r="B228" i="6"/>
  <c r="B229" i="6"/>
  <c r="B230" i="6"/>
  <c r="B227" i="6"/>
  <c r="B217" i="6"/>
  <c r="B218" i="6"/>
  <c r="B219" i="6"/>
  <c r="B220" i="6"/>
  <c r="B221" i="6"/>
  <c r="B222" i="6"/>
  <c r="B223" i="6"/>
  <c r="B224" i="6"/>
  <c r="B216" i="6"/>
  <c r="B213" i="6"/>
  <c r="B207" i="6"/>
  <c r="B208" i="6"/>
  <c r="B209" i="6"/>
  <c r="B210" i="6"/>
  <c r="B206" i="6"/>
  <c r="B200" i="6"/>
  <c r="B201" i="6"/>
  <c r="B202" i="6"/>
  <c r="B203" i="6"/>
  <c r="B199" i="6"/>
  <c r="D203" i="6"/>
  <c r="D202" i="6"/>
  <c r="I240" i="6" s="1"/>
  <c r="D201" i="6"/>
  <c r="E208" i="6" s="1"/>
  <c r="D200" i="6"/>
  <c r="D143" i="6"/>
  <c r="D142" i="6"/>
  <c r="F180" i="6" s="1"/>
  <c r="D141" i="6"/>
  <c r="E148" i="6" s="1"/>
  <c r="D140" i="6"/>
  <c r="D139" i="6"/>
  <c r="E195" i="6" s="1"/>
  <c r="R25" i="12" s="1"/>
  <c r="E218" i="6" l="1"/>
  <c r="E255" i="6"/>
  <c r="T25" i="12" s="1"/>
  <c r="E161" i="6"/>
  <c r="F240" i="6"/>
  <c r="G240" i="6"/>
  <c r="H240" i="6"/>
  <c r="E245" i="6"/>
  <c r="T19" i="12" s="1"/>
  <c r="V25" i="12" l="1"/>
  <c r="E190" i="6"/>
  <c r="E222" i="6"/>
  <c r="E221" i="6"/>
  <c r="E229" i="6"/>
  <c r="E236" i="6" s="1"/>
  <c r="E210" i="6"/>
  <c r="E220" i="6" s="1"/>
  <c r="E209" i="6"/>
  <c r="E217" i="6"/>
  <c r="E207" i="6"/>
  <c r="E233" i="6" s="1"/>
  <c r="E206" i="6"/>
  <c r="E216" i="6" s="1"/>
  <c r="E162" i="6"/>
  <c r="I180" i="6"/>
  <c r="H180" i="6"/>
  <c r="G180" i="6"/>
  <c r="E150" i="6"/>
  <c r="E175" i="6" s="1"/>
  <c r="E149" i="6"/>
  <c r="E158" i="6" s="1"/>
  <c r="E157" i="6"/>
  <c r="E147" i="6"/>
  <c r="E168" i="6" s="1"/>
  <c r="E169" i="6"/>
  <c r="E176" i="6" s="1"/>
  <c r="F182" i="6" s="1"/>
  <c r="L135" i="6"/>
  <c r="L134" i="6"/>
  <c r="L133" i="6"/>
  <c r="L131" i="6"/>
  <c r="L130" i="6"/>
  <c r="L129" i="6"/>
  <c r="L127" i="6"/>
  <c r="L126" i="6"/>
  <c r="L125" i="6"/>
  <c r="J124" i="6"/>
  <c r="L123" i="6"/>
  <c r="L122" i="6"/>
  <c r="E187" i="6" s="1"/>
  <c r="S17" i="12" s="1"/>
  <c r="L121" i="6"/>
  <c r="L119" i="6"/>
  <c r="L118" i="6"/>
  <c r="L117" i="6"/>
  <c r="L111" i="6"/>
  <c r="L110" i="6"/>
  <c r="L109" i="6"/>
  <c r="L107" i="6"/>
  <c r="L106" i="6"/>
  <c r="L105" i="6"/>
  <c r="H35" i="6"/>
  <c r="H34" i="6"/>
  <c r="H32" i="6"/>
  <c r="G19" i="6"/>
  <c r="F19" i="6"/>
  <c r="E19" i="6"/>
  <c r="D19" i="6"/>
  <c r="H106" i="6" l="1"/>
  <c r="I32" i="6"/>
  <c r="I104" i="6" s="1"/>
  <c r="H105" i="6"/>
  <c r="I33" i="6"/>
  <c r="I179" i="6"/>
  <c r="I181" i="6" s="1"/>
  <c r="H179" i="6"/>
  <c r="H181" i="6" s="1"/>
  <c r="G179" i="6"/>
  <c r="G181" i="6" s="1"/>
  <c r="F179" i="6"/>
  <c r="F181" i="6" s="1"/>
  <c r="F183" i="6" s="1"/>
  <c r="G239" i="6"/>
  <c r="G241" i="6" s="1"/>
  <c r="H239" i="6"/>
  <c r="H241" i="6" s="1"/>
  <c r="E247" i="6"/>
  <c r="U17" i="12" s="1"/>
  <c r="F239" i="6"/>
  <c r="F241" i="6" s="1"/>
  <c r="I239" i="6"/>
  <c r="I241" i="6" s="1"/>
  <c r="I242" i="6"/>
  <c r="G242" i="6"/>
  <c r="F242" i="6"/>
  <c r="H242" i="6"/>
  <c r="G182" i="6"/>
  <c r="H182" i="6"/>
  <c r="E228" i="6"/>
  <c r="E160" i="6"/>
  <c r="E235" i="6"/>
  <c r="E173" i="6"/>
  <c r="I182" i="6"/>
  <c r="I105" i="6"/>
  <c r="I126" i="6"/>
  <c r="I35" i="6"/>
  <c r="J35" i="6" s="1"/>
  <c r="I106" i="6"/>
  <c r="I127" i="6"/>
  <c r="I128" i="6"/>
  <c r="I120" i="6"/>
  <c r="I100" i="6"/>
  <c r="I116" i="6"/>
  <c r="I113" i="6"/>
  <c r="I114" i="6"/>
  <c r="I115" i="6"/>
  <c r="I34" i="6"/>
  <c r="J34" i="6" s="1"/>
  <c r="I125" i="6"/>
  <c r="V17" i="12" l="1"/>
  <c r="I112" i="6"/>
  <c r="I132" i="6"/>
  <c r="I108" i="6"/>
  <c r="H102" i="6"/>
  <c r="H134" i="6"/>
  <c r="H122" i="6"/>
  <c r="H110" i="6"/>
  <c r="H123" i="6"/>
  <c r="H107" i="6"/>
  <c r="H111" i="6"/>
  <c r="H103" i="6"/>
  <c r="H135" i="6"/>
  <c r="H121" i="6"/>
  <c r="H109" i="6"/>
  <c r="H101" i="6"/>
  <c r="H133" i="6"/>
  <c r="H132" i="6"/>
  <c r="H104" i="6"/>
  <c r="H100" i="6"/>
  <c r="H108" i="6"/>
  <c r="H120" i="6"/>
  <c r="H243" i="6"/>
  <c r="G243" i="6"/>
  <c r="G183" i="6"/>
  <c r="I183" i="6"/>
  <c r="H183" i="6"/>
  <c r="J127" i="6"/>
  <c r="J115" i="6"/>
  <c r="J116" i="6"/>
  <c r="J126" i="6"/>
  <c r="J114" i="6"/>
  <c r="J125" i="6"/>
  <c r="J241" i="6"/>
  <c r="F243" i="6"/>
  <c r="I243" i="6"/>
  <c r="J179" i="6"/>
  <c r="J239" i="6"/>
  <c r="J181" i="6"/>
  <c r="J113" i="6"/>
  <c r="I119" i="6"/>
  <c r="I103" i="6"/>
  <c r="J112" i="6"/>
  <c r="J105" i="6"/>
  <c r="I107" i="6"/>
  <c r="I111" i="6"/>
  <c r="I135" i="6"/>
  <c r="I123" i="6"/>
  <c r="I131" i="6"/>
  <c r="J106" i="6"/>
  <c r="J128" i="6"/>
  <c r="J132" i="6"/>
  <c r="I117" i="6"/>
  <c r="I129" i="6"/>
  <c r="I121" i="6"/>
  <c r="I133" i="6"/>
  <c r="I109" i="6"/>
  <c r="I101" i="6"/>
  <c r="I118" i="6"/>
  <c r="I130" i="6"/>
  <c r="I122" i="6"/>
  <c r="I134" i="6"/>
  <c r="I110" i="6"/>
  <c r="I102" i="6"/>
  <c r="J120" i="6"/>
  <c r="J108" i="6" l="1"/>
  <c r="J183" i="6"/>
  <c r="E153" i="6" s="1"/>
  <c r="J100" i="6"/>
  <c r="J104" i="6"/>
  <c r="J117" i="6"/>
  <c r="J109" i="6"/>
  <c r="J129" i="6"/>
  <c r="J118" i="6"/>
  <c r="J131" i="6"/>
  <c r="J130" i="6"/>
  <c r="E227" i="6"/>
  <c r="J243" i="6"/>
  <c r="E213" i="6" s="1"/>
  <c r="J103" i="6"/>
  <c r="J119" i="6"/>
  <c r="J110" i="6"/>
  <c r="J133" i="6"/>
  <c r="J107" i="6"/>
  <c r="J122" i="6"/>
  <c r="J135" i="6"/>
  <c r="J111" i="6"/>
  <c r="J123" i="6"/>
  <c r="J121" i="6"/>
  <c r="J102" i="6"/>
  <c r="J134" i="6"/>
  <c r="J101" i="6"/>
  <c r="E230" i="6" l="1"/>
  <c r="T9" i="12" s="1"/>
  <c r="T8" i="12" s="1"/>
  <c r="T7" i="12" s="1"/>
  <c r="E251" i="6"/>
  <c r="E252" i="6" s="1"/>
  <c r="E253" i="6" s="1"/>
  <c r="U18" i="12" s="1"/>
  <c r="U16" i="12" s="1"/>
  <c r="T10" i="12"/>
  <c r="E191" i="6"/>
  <c r="E192" i="6" s="1"/>
  <c r="R10" i="12"/>
  <c r="E219" i="6"/>
  <c r="E223" i="6" l="1"/>
  <c r="E224" i="6" s="1"/>
  <c r="T11" i="12" s="1"/>
  <c r="T12" i="12" s="1"/>
  <c r="T24" i="12" s="1"/>
  <c r="E234" i="6"/>
  <c r="V10" i="12"/>
  <c r="T26" i="12" l="1"/>
  <c r="U26" i="12" l="1"/>
  <c r="U25" i="12"/>
  <c r="U24" i="12"/>
  <c r="E185" i="6"/>
  <c r="R19" i="12" s="1"/>
  <c r="E146" i="6"/>
  <c r="E156" i="6" s="1"/>
  <c r="E167" i="6"/>
  <c r="E159" i="6"/>
  <c r="E170" i="6" l="1"/>
  <c r="R9" i="12" s="1"/>
  <c r="R8" i="12" l="1"/>
  <c r="V8" i="12" s="1"/>
  <c r="V9" i="12"/>
  <c r="E174" i="6"/>
  <c r="E163" i="6"/>
  <c r="E164" i="6" s="1"/>
  <c r="R11" i="12" s="1"/>
  <c r="V11" i="12" s="1"/>
  <c r="E193" i="6"/>
  <c r="S18" i="12" s="1"/>
  <c r="R7" i="12" l="1"/>
  <c r="R12" i="12" s="1"/>
  <c r="V18" i="12"/>
  <c r="S16" i="12"/>
  <c r="V16" i="12" s="1"/>
  <c r="S7" i="12" l="1"/>
  <c r="S12" i="12" s="1"/>
  <c r="V7" i="12"/>
  <c r="R24" i="12"/>
  <c r="V12" i="12"/>
  <c r="S10" i="12" l="1"/>
  <c r="S11" i="12"/>
  <c r="R26" i="12"/>
  <c r="V24" i="12"/>
  <c r="S24" i="12" l="1"/>
  <c r="V26" i="12"/>
  <c r="S26" i="12"/>
  <c r="S25" i="12"/>
  <c r="U7" i="12" l="1"/>
  <c r="U11" i="12" s="1"/>
  <c r="U10" i="12" l="1"/>
  <c r="U12" i="12" l="1"/>
</calcChain>
</file>

<file path=xl/sharedStrings.xml><?xml version="1.0" encoding="utf-8"?>
<sst xmlns="http://schemas.openxmlformats.org/spreadsheetml/2006/main" count="589" uniqueCount="272">
  <si>
    <t>Customer segment</t>
  </si>
  <si>
    <t>High income</t>
  </si>
  <si>
    <t>Low income</t>
  </si>
  <si>
    <t>Passive</t>
  </si>
  <si>
    <t>Self-marketing</t>
  </si>
  <si>
    <t>Sales agent</t>
  </si>
  <si>
    <t>Product system</t>
  </si>
  <si>
    <t>SaTo pan</t>
  </si>
  <si>
    <t>Slab with pan</t>
  </si>
  <si>
    <t>Change from base price</t>
  </si>
  <si>
    <t>Component</t>
  </si>
  <si>
    <t>Cost</t>
  </si>
  <si>
    <t>Price</t>
  </si>
  <si>
    <t>Mold for slab</t>
  </si>
  <si>
    <t>Mold for ring</t>
  </si>
  <si>
    <t>Mold for cover</t>
  </si>
  <si>
    <t>Entrepreneur profile</t>
  </si>
  <si>
    <t>Delivery model</t>
  </si>
  <si>
    <t>Product</t>
  </si>
  <si>
    <t>Profit</t>
  </si>
  <si>
    <t>Capital assets needed</t>
  </si>
  <si>
    <t>Capex</t>
  </si>
  <si>
    <t>Mason</t>
  </si>
  <si>
    <t>Network</t>
  </si>
  <si>
    <t>Labor</t>
  </si>
  <si>
    <t>OSS</t>
  </si>
  <si>
    <t>TSP</t>
  </si>
  <si>
    <t>Hardware store</t>
  </si>
  <si>
    <t>Pan, PVC pipe</t>
  </si>
  <si>
    <t xml:space="preserve">Pan, PVC pipe, superstructure </t>
  </si>
  <si>
    <t>Slab, pan, PVC pipe, rings, pit cover</t>
  </si>
  <si>
    <t>Molds for slab, rings, cover</t>
  </si>
  <si>
    <t>Tiled slab, pan, PVC pipe, rings, pit cover, superstructure</t>
  </si>
  <si>
    <t>Concrete block producer</t>
  </si>
  <si>
    <t>Slab</t>
  </si>
  <si>
    <t>Slab, rings, pit cover</t>
  </si>
  <si>
    <t>Tiled slab, rings, pit cover</t>
  </si>
  <si>
    <t>Target market</t>
  </si>
  <si>
    <t>B. Cost of Goods Sold (COGS)</t>
  </si>
  <si>
    <t>D. Net Profit [A-(B+C)]</t>
  </si>
  <si>
    <t>Sales and marketing</t>
  </si>
  <si>
    <t>Income from other business</t>
  </si>
  <si>
    <t>Income from sanitation enterprise</t>
  </si>
  <si>
    <t>Total income</t>
  </si>
  <si>
    <t>Middle-upper income</t>
  </si>
  <si>
    <t>Middle-low income</t>
  </si>
  <si>
    <t>Entrepreneur</t>
  </si>
  <si>
    <t>Assumptions</t>
  </si>
  <si>
    <t>#unserved HHs (a)</t>
  </si>
  <si>
    <t>Base penetration rate (b)</t>
  </si>
  <si>
    <t>Number of households (a*b)</t>
  </si>
  <si>
    <t>Calculated field</t>
  </si>
  <si>
    <t>Assumption</t>
  </si>
  <si>
    <t>Demand for product by customer segment</t>
  </si>
  <si>
    <t>Legend</t>
  </si>
  <si>
    <t>Toilet package</t>
  </si>
  <si>
    <t>Toilet package prices (anchored to high-income customers)</t>
  </si>
  <si>
    <t>SaTo Pan (a)</t>
  </si>
  <si>
    <t>Ceramic pan (b)</t>
  </si>
  <si>
    <t>Untiled slab (c)</t>
  </si>
  <si>
    <t>Tiled slab (d)</t>
  </si>
  <si>
    <t xml:space="preserve">PVC pipe (e) </t>
  </si>
  <si>
    <t>3 rings (f)</t>
  </si>
  <si>
    <t>Pit cover (g)</t>
  </si>
  <si>
    <t>Superstructure (h)</t>
  </si>
  <si>
    <t>Asset</t>
  </si>
  <si>
    <t>Capital asset requirement will depend upon the product system and delivery model chosen by the enterprise</t>
  </si>
  <si>
    <t>Installation labor</t>
  </si>
  <si>
    <t>Minimum base (a)</t>
  </si>
  <si>
    <t>Rate as % of package price (b)</t>
  </si>
  <si>
    <t>Max (a,b)</t>
  </si>
  <si>
    <t>(% of base price for the package, i.e., labor rate is anchored to the price charged from the high-income customer segment)</t>
  </si>
  <si>
    <t>-</t>
  </si>
  <si>
    <t>Intermediate calculations</t>
  </si>
  <si>
    <t>Penetration rate and number of household sales by customer segment</t>
  </si>
  <si>
    <t>Inputs from the form</t>
  </si>
  <si>
    <t>1 = High income; 2 = Middle-upper income; 3 = Middle-low income; 4 = Low income</t>
  </si>
  <si>
    <t>1 = Passive; 2 = Self-marketing; 3 = Sales agent</t>
  </si>
  <si>
    <t>1 = Mason; 2 = Hardware store owner; 3 = CBP</t>
  </si>
  <si>
    <t>Base penetration rate - same as latent demand</t>
  </si>
  <si>
    <t>Overview</t>
  </si>
  <si>
    <t>Instructions</t>
  </si>
  <si>
    <t>SaTo pan, installation</t>
  </si>
  <si>
    <t>Slab, pan, PVC pipe, rings, pit cover, installation</t>
  </si>
  <si>
    <t>Tiled slab, pan, PVC pipe, rings, pit cover, superstructure, installation</t>
  </si>
  <si>
    <t>Cost and revenue from installation</t>
  </si>
  <si>
    <t>Capital assets required by sanitation enterprise and their respective cost</t>
  </si>
  <si>
    <t>`</t>
  </si>
  <si>
    <t>Overview &amp; Instructions</t>
  </si>
  <si>
    <t>Dashboard</t>
  </si>
  <si>
    <t>The primary interface to use during the exercise</t>
  </si>
  <si>
    <t>Assumptions and Calculations</t>
  </si>
  <si>
    <t>Purpose</t>
  </si>
  <si>
    <t>Contents</t>
  </si>
  <si>
    <t>Data and computations underlying the Dashboard. Users are encouraged to alter the figures per their context or learning objectives. We recommend saving with a different filename before altering data and formulae</t>
  </si>
  <si>
    <t>Your role</t>
  </si>
  <si>
    <t>A facilitator of the group-based exercise providing instructions, participating in the discussion, and generating P&amp;L results</t>
  </si>
  <si>
    <t>Steps</t>
  </si>
  <si>
    <t>Provide the group with the materials for the exercise - instructions sheet, a board, and a set of color coded cards</t>
  </si>
  <si>
    <t>Explain or ask the group to read the instructions</t>
  </si>
  <si>
    <t xml:space="preserve">Give the group time to review the cards, discuss, and make choices on all elements to design the sanitation enterprise </t>
  </si>
  <si>
    <t>Share the key results - revenue and profit with the group</t>
  </si>
  <si>
    <t>Subsequent discussions are open to modification - understand why the profit is low or high; how might it change with alternate choices, etc.</t>
  </si>
  <si>
    <t>Should participants want to alter choices and compare a change in results, use the option "Run 2"</t>
  </si>
  <si>
    <t>Potential customers segmented by income</t>
  </si>
  <si>
    <t>Addressable market by number of households</t>
  </si>
  <si>
    <t>Annual latent demand i.e., share of segment interested in purchasing a toilet</t>
  </si>
  <si>
    <t>Key Trade-off: Capacity / propensity to pay, number of customers, and product type preferred</t>
  </si>
  <si>
    <t>Distribution of product preferences within each segment</t>
  </si>
  <si>
    <t xml:space="preserve">Key Trade-off: Product system and target market - demand for higher priced products increases with income </t>
  </si>
  <si>
    <t>Key Tradeoff: Prices charged and number of customers vary with the chosen primary target market</t>
  </si>
  <si>
    <t>Key tradeoff: Increasing customers via agents increases costs</t>
  </si>
  <si>
    <t>Base prices for product systems and their constituent components anchored to the high-income customer segment</t>
  </si>
  <si>
    <t>Tradeoff 1: Prices change with the choice of the primary target market</t>
  </si>
  <si>
    <t>Tradeoff 2: Demand i.e., # of customers across segments negatively correlated with price</t>
  </si>
  <si>
    <t>Commission paid to sales agent per toilet sold</t>
  </si>
  <si>
    <t>3x base penetration rate as enterprise has multiple agents to persude customers saving entrepreneur time &amp; effort</t>
  </si>
  <si>
    <t>Delivery model choice determines the share of a product system (price, cost, and profit) captured by an entrepreneur profile</t>
  </si>
  <si>
    <t>Delivery model choice determines the amount of capital investment required</t>
  </si>
  <si>
    <t>Base price</t>
  </si>
  <si>
    <t>Price calculation</t>
  </si>
  <si>
    <t>Entrepreneur type</t>
  </si>
  <si>
    <t>User input</t>
  </si>
  <si>
    <t>Product cost</t>
  </si>
  <si>
    <t>111</t>
  </si>
  <si>
    <t>112</t>
  </si>
  <si>
    <t>113</t>
  </si>
  <si>
    <t>114</t>
  </si>
  <si>
    <t>121</t>
  </si>
  <si>
    <t>122</t>
  </si>
  <si>
    <t>123</t>
  </si>
  <si>
    <t>124</t>
  </si>
  <si>
    <t>131</t>
  </si>
  <si>
    <t>132</t>
  </si>
  <si>
    <t>133</t>
  </si>
  <si>
    <t>134</t>
  </si>
  <si>
    <t>211</t>
  </si>
  <si>
    <t>212</t>
  </si>
  <si>
    <t>213</t>
  </si>
  <si>
    <t>214</t>
  </si>
  <si>
    <t>221</t>
  </si>
  <si>
    <t>222</t>
  </si>
  <si>
    <t>223</t>
  </si>
  <si>
    <t>224</t>
  </si>
  <si>
    <t>231</t>
  </si>
  <si>
    <t>232</t>
  </si>
  <si>
    <t>233</t>
  </si>
  <si>
    <t>234</t>
  </si>
  <si>
    <t>311</t>
  </si>
  <si>
    <t>312</t>
  </si>
  <si>
    <t>313</t>
  </si>
  <si>
    <t>314</t>
  </si>
  <si>
    <t>321</t>
  </si>
  <si>
    <t>322</t>
  </si>
  <si>
    <t>323</t>
  </si>
  <si>
    <t>324</t>
  </si>
  <si>
    <t>331</t>
  </si>
  <si>
    <t>332</t>
  </si>
  <si>
    <t>333</t>
  </si>
  <si>
    <t>334</t>
  </si>
  <si>
    <t>Volume calculation</t>
  </si>
  <si>
    <t>Product cost calculation</t>
  </si>
  <si>
    <t>Index coding (left to right)</t>
  </si>
  <si>
    <t>1 - Mason, 2- Hardware store, 3 - CBP</t>
  </si>
  <si>
    <t>1 - Network, 2 - OSS, 3 - TSP</t>
  </si>
  <si>
    <t>Enterprise design</t>
  </si>
  <si>
    <t>Sales strategy</t>
  </si>
  <si>
    <t>Middle-lower income</t>
  </si>
  <si>
    <t>Total sales</t>
  </si>
  <si>
    <t xml:space="preserve">Sales multiplier due to sales strategy </t>
  </si>
  <si>
    <t>Product sales at base level</t>
  </si>
  <si>
    <t>Product sales after adjusting for sales strategy</t>
  </si>
  <si>
    <t>Increase in sales due to price change</t>
  </si>
  <si>
    <t>Product sales after adjusting for price change</t>
  </si>
  <si>
    <t>% of total</t>
  </si>
  <si>
    <t>Absolute</t>
  </si>
  <si>
    <t>2. Target market</t>
  </si>
  <si>
    <t>3. Product system</t>
  </si>
  <si>
    <t>4. Sales and Marketing</t>
  </si>
  <si>
    <t>5. Delivery model</t>
  </si>
  <si>
    <t>Sales multiplier based on sales strategy (multiply penetration rate at base level)</t>
  </si>
  <si>
    <t>Existing asset</t>
  </si>
  <si>
    <t>Asset value apportioned to sanitation</t>
  </si>
  <si>
    <t>1. Entrepreneur</t>
  </si>
  <si>
    <t>Hardware store owner</t>
  </si>
  <si>
    <t>Cement block producer</t>
  </si>
  <si>
    <t>Truck</t>
  </si>
  <si>
    <t>Other cost calculation</t>
  </si>
  <si>
    <t>Asset value</t>
  </si>
  <si>
    <t>Asset useful life</t>
  </si>
  <si>
    <t>Cost of delivering product</t>
  </si>
  <si>
    <t>Proportion of sales to which commission will be charged</t>
  </si>
  <si>
    <t>Cost of sales %</t>
  </si>
  <si>
    <t>Total other costs</t>
  </si>
  <si>
    <t>Cost of delivery per toilet</t>
  </si>
  <si>
    <t>Cost of delivery total</t>
  </si>
  <si>
    <t>Working capital calculation</t>
  </si>
  <si>
    <t>Number of months inventory required</t>
  </si>
  <si>
    <t>Annual sales</t>
  </si>
  <si>
    <t>Working capital required</t>
  </si>
  <si>
    <t>Number of months inventory required (working capital calculation)</t>
  </si>
  <si>
    <t>Capital expenditure required</t>
  </si>
  <si>
    <t>C. Other costs</t>
  </si>
  <si>
    <t>Number of toilets sold [Q]</t>
  </si>
  <si>
    <t>A. Revenue [R = P*Q]</t>
  </si>
  <si>
    <t>Available capital</t>
  </si>
  <si>
    <t>One-stop-shop</t>
  </si>
  <si>
    <t>Please enter your choices using the dropdown menus below</t>
  </si>
  <si>
    <t>Sales agent cost total</t>
  </si>
  <si>
    <t xml:space="preserve">Total product cost </t>
  </si>
  <si>
    <t xml:space="preserve">Sales multiplier (due to sales strategy) </t>
  </si>
  <si>
    <t>Price realized per toilet [P]</t>
  </si>
  <si>
    <t>of price</t>
  </si>
  <si>
    <t xml:space="preserve">Replicate the choices by selecting the relevant options from the dropdown lists </t>
  </si>
  <si>
    <t>Note: Data may have rounding errors</t>
  </si>
  <si>
    <t>&lt;Select an option&gt;</t>
  </si>
  <si>
    <t>Easy Latrine</t>
  </si>
  <si>
    <t>Easy Latrine (b, c, e, f, g)</t>
  </si>
  <si>
    <t>Ceramic pan, tiled latrine</t>
  </si>
  <si>
    <t>Ceramic pan, tiled latrine (b, d, e, f, g, h)</t>
  </si>
  <si>
    <t>1 - SaTo Pan, 2 - Slab with pan, 3 - Easy Latrine, 4 - Ceramic pan, tiled latrine</t>
  </si>
  <si>
    <t>1 = SaTo pan; 2 = Slab with pan; 3 = Easy Latrine; 4 = Ceramic pan, tiled latrine</t>
  </si>
  <si>
    <t>Select first option to reset the profit and loss statement</t>
  </si>
  <si>
    <t>RM Cost</t>
  </si>
  <si>
    <t>Slab, Sato pan, PVC pipe</t>
  </si>
  <si>
    <t>Slab, SaTo pan, PVC pipe, installation</t>
  </si>
  <si>
    <t>Slab, SaTo pan, PVC pipe</t>
  </si>
  <si>
    <t>SaTo pan, PVC pipe</t>
  </si>
  <si>
    <t>Untiled slab ("slab"), SaTo pan, PVC pipe, installation</t>
  </si>
  <si>
    <t>Slab with pan (a, c, e)</t>
  </si>
  <si>
    <t>Total RM for sanitation</t>
  </si>
  <si>
    <t>Sales &amp; Marketing</t>
  </si>
  <si>
    <t>Product System</t>
  </si>
  <si>
    <t>Target Market</t>
  </si>
  <si>
    <t>Turnkey solution provider</t>
  </si>
  <si>
    <t>1 = Network; 2 = One-stop shop; 3 = Turnkey solution provider</t>
  </si>
  <si>
    <t>Sanitation Enterprise Profit &amp; Loss Statement</t>
  </si>
  <si>
    <t>Designing Viable Sanitation Enterprises</t>
  </si>
  <si>
    <t>Companion calculator for the enterprise design board game</t>
  </si>
  <si>
    <t>Sanitation Enterprise Capital Need and Availability</t>
  </si>
  <si>
    <t>Round 1</t>
  </si>
  <si>
    <t>Round 2</t>
  </si>
  <si>
    <t>Change (R2-R1)</t>
  </si>
  <si>
    <t>% of revenue</t>
  </si>
  <si>
    <t>Income Summary for Entrepreneur</t>
  </si>
  <si>
    <t>F. Available capital</t>
  </si>
  <si>
    <t>6. Round 1</t>
  </si>
  <si>
    <t>7. Round 2</t>
  </si>
  <si>
    <t>Capital expenditure [C]</t>
  </si>
  <si>
    <t>Working capital [W]</t>
  </si>
  <si>
    <t>E. Total capital required [T = C+W]</t>
  </si>
  <si>
    <t>4.11</t>
  </si>
  <si>
    <t>4.15</t>
  </si>
  <si>
    <t>Margin %</t>
  </si>
  <si>
    <r>
      <t>This MS-Excel tool is a companion to a card game exercise "</t>
    </r>
    <r>
      <rPr>
        <i/>
        <sz val="11"/>
        <color theme="1"/>
        <rFont val="Calibri"/>
        <family val="2"/>
        <scheme val="minor"/>
      </rPr>
      <t>Design a Sanitation Enterprise</t>
    </r>
    <r>
      <rPr>
        <sz val="11"/>
        <color theme="1"/>
        <rFont val="Calibri"/>
        <family val="2"/>
        <scheme val="minor"/>
      </rPr>
      <t>" The tool allows a user to record the choices made in the game and compute a basic Profit &amp; Loss (P&amp;L) financial statement and investment requirement</t>
    </r>
  </si>
  <si>
    <t>For use by</t>
  </si>
  <si>
    <t>The facilitator for a group-based exercise or an MBS practitioner for self-learning</t>
  </si>
  <si>
    <t xml:space="preserve">Provides context, objectives of the exercise, and how to use this tool (this sheet) </t>
  </si>
  <si>
    <t>Margin (Price-Cost)/Price</t>
  </si>
  <si>
    <t>Variation in price from base price due to change in the target market (customer segment)</t>
  </si>
  <si>
    <t>High income (Base Price)</t>
  </si>
  <si>
    <t>Price elasticity of demand by customer segment(% increase in demand for 1% reduction in price)</t>
  </si>
  <si>
    <t>Price, cost, profit, and capex investment by entrepreneur profile and delivery model for each product system (base price anchored to high-income customers)</t>
  </si>
  <si>
    <t>Available Investment Capital</t>
  </si>
  <si>
    <t>None</t>
  </si>
  <si>
    <t>Package Cost</t>
  </si>
  <si>
    <t>Package Price</t>
  </si>
  <si>
    <t>Package constituents</t>
  </si>
  <si>
    <t>2x base penetration rate as entrepreneur actively persuades customersto purchase toilets</t>
  </si>
  <si>
    <t>Index (coding to the right of the matrix)</t>
  </si>
  <si>
    <t>Under our assumptions, procurement costs are the same regardless of enterprise and delivery model. 
Trade-off is primarily between the entreprenuer type and delivery model, especially the network model that determines the components and services sold by the enterprise. For instance, a mason will offer labor while the hardware store will stock items such as pans and pipes that fit with their primary business.
Capex costs for are the same for Easy Latrine and Ceramic pan, tiled latrine because superstructure items are traded (i.e., bought and sold) and not manufactured. Capex is incurred only in the OSS and TSP models. Therefore, a trade-off exists between delivery model and capex requirement.
For the mason, a trade-off does not exist between the OSS and TSP models. Under the TSP model mason is more profitable than the other two entrepreneurs because (s)he generates additional profits from installation services. At a unit level, all enterprises make higher profit selling the more expensive package, but sales volumes will reduce.
For the hardware store and the CBP, the TSP model is more profitable than the OSS model. The trade-off is the additional management overhead to coordinate laborers for installing the toilet and building the superstructure.</t>
  </si>
  <si>
    <t>Product components/services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</si>
</sst>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164" formatCode="_ * #,##0.00_ ;_ * \-#,##0.00_ ;_ * &quot;-&quot;??_ ;_ @_ "/>
    <numFmt numFmtId="165" formatCode="_ * #,##0_ ;_ * \-#,##0_ ;_ * &quot;-&quot;??_ ;_ @_ "/>
    <numFmt numFmtId="166" formatCode="_ * #,##0.0_ ;_ * \-#,##0.0_ ;_ * &quot;-&quot;??_ ;_ @_ "/>
    <numFmt numFmtId="167" formatCode="0.0%"/>
    <numFmt numFmtId="168" formatCode="0.0"/>
    <numFmt numFmtId="169" formatCode="[$$-409]#,##0.0"/>
    <numFmt numFmtId="170" formatCode="[$$-409]#,##0.000000000000000"/>
    <numFmt numFmtId="171" formatCode="_(* #,##0_);_(* \(#,##0\);_(* &quot;-&quot;??_);_(@_)"/>
    <numFmt numFmtId="172" formatCode="_(&quot;$&quot;* #,##0_);_(&quot;$&quot;* \(#,##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b/>
      <sz val="11"/>
      <color theme="1"/>
      <name val="Gill Sans MT"/>
      <family val="2"/>
    </font>
    <font>
      <sz val="11"/>
      <color theme="1"/>
      <name val="Gill Sans MT"/>
      <family val="2"/>
    </font>
    <font>
      <b/>
      <i/>
      <sz val="26"/>
      <color theme="1"/>
      <name val="Calibri"/>
      <family val="2"/>
      <scheme val="minor"/>
    </font>
    <font>
      <sz val="11"/>
      <color theme="5"/>
      <name val="Calibri"/>
      <family val="2"/>
      <scheme val="minor"/>
    </font>
    <font>
      <b/>
      <i/>
      <sz val="11"/>
      <color theme="0"/>
      <name val="Calibri"/>
      <family val="2"/>
      <scheme val="minor"/>
    </font>
    <font>
      <b/>
      <i/>
      <sz val="14"/>
      <color theme="0"/>
      <name val="Calibri"/>
      <family val="2"/>
      <scheme val="minor"/>
    </font>
    <font>
      <sz val="11"/>
      <color rgb="FF000000"/>
      <name val="Calibri"/>
      <family val="2"/>
      <scheme val="minor"/>
    </font>
    <font>
      <b/>
      <i/>
      <sz val="48"/>
      <color theme="0"/>
      <name val="Calibri"/>
      <family val="2"/>
      <scheme val="minor"/>
    </font>
    <font>
      <b/>
      <sz val="11"/>
      <color theme="0"/>
      <name val="Calibri"/>
      <family val="2"/>
      <scheme val="minor"/>
    </font>
    <font>
      <sz val="11"/>
      <color rgb="FFFF0000"/>
      <name val="Calibri"/>
      <family val="2"/>
      <scheme val="minor"/>
    </font>
    <font>
      <b/>
      <sz val="11"/>
      <color rgb="FFFF0000"/>
      <name val="Calibri"/>
      <family val="2"/>
      <scheme val="minor"/>
    </font>
    <font>
      <sz val="11"/>
      <color theme="0"/>
      <name val="Gill Sans MT"/>
      <family val="2"/>
    </font>
    <font>
      <i/>
      <sz val="11"/>
      <color theme="1"/>
      <name val="Gill Sans MT"/>
      <family val="2"/>
    </font>
    <font>
      <sz val="11"/>
      <name val="Calibri"/>
      <family val="2"/>
      <scheme val="minor"/>
    </font>
    <font>
      <b/>
      <sz val="11"/>
      <color theme="0"/>
      <name val="Gill Sans MT"/>
      <family val="2"/>
    </font>
    <font>
      <b/>
      <i/>
      <sz val="28"/>
      <color theme="0"/>
      <name val="Calibri"/>
      <family val="2"/>
      <scheme val="minor"/>
    </font>
    <font>
      <b/>
      <i/>
      <sz val="11"/>
      <color theme="1"/>
      <name val="Gill Sans MT"/>
      <family val="2"/>
    </font>
    <font>
      <b/>
      <i/>
      <sz val="12"/>
      <color theme="1"/>
      <name val="Gill Sans MT"/>
      <family val="2"/>
    </font>
    <font>
      <b/>
      <i/>
      <sz val="11"/>
      <color rgb="FFFF0000"/>
      <name val="Gill Sans MT"/>
      <family val="2"/>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8"/>
        <bgColor indexed="64"/>
      </patternFill>
    </fill>
    <fill>
      <patternFill patternType="solid">
        <fgColor rgb="FFC00000"/>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
      <patternFill patternType="solid">
        <fgColor rgb="FF002F6C"/>
        <bgColor indexed="64"/>
      </patternFill>
    </fill>
    <fill>
      <patternFill patternType="solid">
        <fgColor rgb="FF7030A0"/>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36">
    <xf numFmtId="0" fontId="0" fillId="0" borderId="0" xfId="0"/>
    <xf numFmtId="0" fontId="4" fillId="0" borderId="0" xfId="0" applyFont="1"/>
    <xf numFmtId="0" fontId="0" fillId="0" borderId="6" xfId="0" applyBorder="1"/>
    <xf numFmtId="0" fontId="0" fillId="0" borderId="4" xfId="0" applyBorder="1" applyAlignment="1">
      <alignment horizontal="center"/>
    </xf>
    <xf numFmtId="9" fontId="0" fillId="0" borderId="0" xfId="2" applyFont="1" applyBorder="1"/>
    <xf numFmtId="0" fontId="0" fillId="0" borderId="0" xfId="0" applyBorder="1"/>
    <xf numFmtId="0" fontId="2" fillId="0" borderId="12" xfId="0" applyFont="1" applyFill="1" applyBorder="1" applyAlignment="1"/>
    <xf numFmtId="0" fontId="2" fillId="0" borderId="11" xfId="0" applyFont="1" applyFill="1" applyBorder="1" applyAlignment="1"/>
    <xf numFmtId="0" fontId="2" fillId="0" borderId="4" xfId="0" applyFont="1" applyFill="1" applyBorder="1" applyAlignment="1"/>
    <xf numFmtId="0" fontId="0" fillId="0" borderId="14" xfId="0" applyFill="1" applyBorder="1" applyAlignment="1">
      <alignment horizontal="left"/>
    </xf>
    <xf numFmtId="165" fontId="0" fillId="0" borderId="0" xfId="1" applyNumberFormat="1" applyFont="1" applyFill="1" applyBorder="1"/>
    <xf numFmtId="166" fontId="0" fillId="0" borderId="14" xfId="1" applyNumberFormat="1" applyFont="1" applyFill="1" applyBorder="1"/>
    <xf numFmtId="0" fontId="0" fillId="0" borderId="15" xfId="0" applyFill="1" applyBorder="1" applyAlignment="1">
      <alignment horizontal="left"/>
    </xf>
    <xf numFmtId="166" fontId="0" fillId="0" borderId="15" xfId="1" applyNumberFormat="1" applyFont="1" applyFill="1" applyBorder="1"/>
    <xf numFmtId="0" fontId="0" fillId="0" borderId="15" xfId="0" applyBorder="1"/>
    <xf numFmtId="0" fontId="0" fillId="0" borderId="0" xfId="0" applyFill="1" applyBorder="1" applyAlignment="1">
      <alignment horizontal="left" indent="2"/>
    </xf>
    <xf numFmtId="166" fontId="0" fillId="0" borderId="0" xfId="1" applyNumberFormat="1" applyFont="1" applyFill="1" applyBorder="1"/>
    <xf numFmtId="0" fontId="4" fillId="0" borderId="0" xfId="0" applyFont="1" applyFill="1" applyBorder="1" applyAlignment="1">
      <alignment horizontal="left"/>
    </xf>
    <xf numFmtId="0" fontId="0" fillId="0" borderId="9" xfId="0" applyBorder="1"/>
    <xf numFmtId="9" fontId="0" fillId="0" borderId="0" xfId="2" applyFont="1" applyFill="1" applyBorder="1"/>
    <xf numFmtId="166" fontId="5" fillId="0" borderId="0" xfId="1" applyNumberFormat="1" applyFont="1" applyFill="1" applyBorder="1"/>
    <xf numFmtId="0" fontId="0" fillId="0" borderId="13" xfId="0" applyBorder="1"/>
    <xf numFmtId="164" fontId="0" fillId="0" borderId="0" xfId="1" applyFont="1" applyFill="1" applyBorder="1"/>
    <xf numFmtId="0" fontId="4" fillId="0" borderId="0" xfId="0" applyFont="1" applyBorder="1"/>
    <xf numFmtId="166" fontId="0" fillId="0" borderId="4" xfId="1" applyNumberFormat="1" applyFont="1" applyFill="1" applyBorder="1"/>
    <xf numFmtId="166" fontId="0" fillId="0" borderId="10" xfId="1" applyNumberFormat="1" applyFont="1" applyFill="1" applyBorder="1"/>
    <xf numFmtId="166" fontId="0" fillId="0" borderId="2" xfId="1" applyNumberFormat="1" applyFont="1" applyFill="1" applyBorder="1"/>
    <xf numFmtId="165" fontId="0" fillId="0" borderId="6" xfId="1" applyNumberFormat="1" applyFont="1" applyFill="1" applyBorder="1"/>
    <xf numFmtId="166" fontId="0" fillId="0" borderId="6" xfId="1" applyNumberFormat="1" applyFont="1" applyFill="1" applyBorder="1"/>
    <xf numFmtId="166" fontId="0" fillId="0" borderId="9" xfId="1" applyNumberFormat="1" applyFont="1" applyFill="1" applyBorder="1"/>
    <xf numFmtId="166" fontId="0" fillId="0" borderId="8" xfId="1" applyNumberFormat="1" applyFont="1" applyFill="1" applyBorder="1"/>
    <xf numFmtId="165" fontId="0" fillId="0" borderId="2" xfId="1" applyNumberFormat="1" applyFont="1" applyFill="1" applyBorder="1"/>
    <xf numFmtId="165" fontId="0" fillId="0" borderId="8" xfId="1" applyNumberFormat="1" applyFont="1" applyFill="1" applyBorder="1"/>
    <xf numFmtId="0" fontId="0" fillId="0" borderId="12" xfId="0" applyBorder="1" applyAlignment="1">
      <alignment horizontal="center"/>
    </xf>
    <xf numFmtId="0" fontId="2" fillId="0" borderId="0" xfId="0" applyFont="1"/>
    <xf numFmtId="0" fontId="7" fillId="3" borderId="0" xfId="0" applyFont="1" applyFill="1" applyBorder="1"/>
    <xf numFmtId="0" fontId="7" fillId="3" borderId="0" xfId="0" applyFont="1" applyFill="1"/>
    <xf numFmtId="0" fontId="7" fillId="3" borderId="0" xfId="0" applyFont="1" applyFill="1" applyBorder="1" applyAlignment="1">
      <alignment horizontal="center"/>
    </xf>
    <xf numFmtId="0" fontId="0" fillId="0" borderId="3" xfId="0" applyBorder="1"/>
    <xf numFmtId="0" fontId="0" fillId="0" borderId="4" xfId="0" applyBorder="1"/>
    <xf numFmtId="0" fontId="2" fillId="6" borderId="0" xfId="0" applyFont="1" applyFill="1"/>
    <xf numFmtId="0" fontId="0" fillId="7" borderId="0" xfId="0" applyFill="1"/>
    <xf numFmtId="0" fontId="0" fillId="0" borderId="14" xfId="0" applyBorder="1"/>
    <xf numFmtId="0" fontId="0" fillId="0" borderId="0" xfId="0" applyFill="1" applyBorder="1"/>
    <xf numFmtId="0" fontId="0" fillId="0" borderId="0" xfId="0" applyFill="1"/>
    <xf numFmtId="0" fontId="2" fillId="8" borderId="12" xfId="0" applyFont="1" applyFill="1" applyBorder="1" applyAlignment="1"/>
    <xf numFmtId="0" fontId="2" fillId="8" borderId="4" xfId="0" applyFont="1" applyFill="1" applyBorder="1" applyAlignment="1"/>
    <xf numFmtId="0" fontId="7" fillId="3" borderId="17" xfId="0" applyFont="1" applyFill="1" applyBorder="1"/>
    <xf numFmtId="0" fontId="7" fillId="3" borderId="18" xfId="0" applyFont="1" applyFill="1" applyBorder="1"/>
    <xf numFmtId="0" fontId="7" fillId="3" borderId="19" xfId="0" applyFont="1" applyFill="1" applyBorder="1"/>
    <xf numFmtId="0" fontId="7" fillId="3" borderId="20" xfId="0" applyFont="1" applyFill="1" applyBorder="1"/>
    <xf numFmtId="0" fontId="7" fillId="3" borderId="21" xfId="0" applyFont="1" applyFill="1" applyBorder="1"/>
    <xf numFmtId="0" fontId="7" fillId="3" borderId="22" xfId="0" applyFont="1" applyFill="1" applyBorder="1"/>
    <xf numFmtId="0" fontId="7" fillId="3" borderId="23" xfId="0" applyFont="1" applyFill="1" applyBorder="1"/>
    <xf numFmtId="0" fontId="6" fillId="2" borderId="16" xfId="0" applyFont="1" applyFill="1" applyBorder="1"/>
    <xf numFmtId="0" fontId="7" fillId="2" borderId="17" xfId="0" applyFont="1" applyFill="1" applyBorder="1"/>
    <xf numFmtId="0" fontId="7" fillId="2" borderId="18" xfId="0" applyFont="1" applyFill="1" applyBorder="1"/>
    <xf numFmtId="0" fontId="7" fillId="2" borderId="19" xfId="0" applyFont="1" applyFill="1" applyBorder="1"/>
    <xf numFmtId="0" fontId="7" fillId="2" borderId="20" xfId="0" applyFont="1" applyFill="1" applyBorder="1"/>
    <xf numFmtId="0" fontId="8" fillId="7" borderId="0" xfId="0" applyFont="1" applyFill="1"/>
    <xf numFmtId="0" fontId="5" fillId="0" borderId="0" xfId="0" quotePrefix="1" applyFont="1"/>
    <xf numFmtId="0" fontId="5" fillId="0" borderId="0" xfId="0" applyFont="1"/>
    <xf numFmtId="0" fontId="0" fillId="0" borderId="15" xfId="0" applyBorder="1" applyAlignment="1">
      <alignment vertical="center" wrapText="1"/>
    </xf>
    <xf numFmtId="0" fontId="0" fillId="0" borderId="14" xfId="0" applyBorder="1" applyAlignment="1">
      <alignment horizontal="left"/>
    </xf>
    <xf numFmtId="0" fontId="0" fillId="9" borderId="0" xfId="0" applyFill="1"/>
    <xf numFmtId="0" fontId="0" fillId="3" borderId="0" xfId="0" applyFill="1"/>
    <xf numFmtId="0" fontId="0" fillId="3" borderId="12" xfId="0" applyFill="1" applyBorder="1"/>
    <xf numFmtId="165" fontId="0" fillId="3" borderId="12" xfId="1" applyNumberFormat="1" applyFont="1" applyFill="1" applyBorder="1"/>
    <xf numFmtId="165" fontId="0" fillId="3" borderId="4" xfId="1" applyNumberFormat="1" applyFont="1" applyFill="1" applyBorder="1"/>
    <xf numFmtId="0" fontId="4" fillId="0" borderId="0" xfId="0" applyFont="1" applyFill="1"/>
    <xf numFmtId="0" fontId="0" fillId="0" borderId="0" xfId="0" applyFill="1" applyBorder="1" applyAlignment="1">
      <alignment horizontal="center" vertical="center" wrapText="1"/>
    </xf>
    <xf numFmtId="9" fontId="0" fillId="0" borderId="0" xfId="0" applyNumberFormat="1" applyFill="1" applyBorder="1"/>
    <xf numFmtId="0" fontId="0" fillId="0" borderId="0" xfId="0" applyFill="1" applyBorder="1" applyAlignment="1">
      <alignment horizontal="center"/>
    </xf>
    <xf numFmtId="0" fontId="2" fillId="0" borderId="0" xfId="0" applyFont="1" applyBorder="1"/>
    <xf numFmtId="0" fontId="4" fillId="0" borderId="0" xfId="0" applyFont="1" applyFill="1" applyBorder="1"/>
    <xf numFmtId="0" fontId="4" fillId="0" borderId="11" xfId="0" applyFont="1" applyFill="1" applyBorder="1"/>
    <xf numFmtId="9" fontId="0" fillId="0" borderId="3" xfId="2" applyFont="1" applyBorder="1"/>
    <xf numFmtId="9" fontId="0" fillId="9" borderId="6" xfId="2" applyFont="1" applyFill="1" applyBorder="1"/>
    <xf numFmtId="9" fontId="0" fillId="9" borderId="8" xfId="2" applyFont="1" applyFill="1" applyBorder="1"/>
    <xf numFmtId="166" fontId="0" fillId="0" borderId="12" xfId="1" applyNumberFormat="1" applyFont="1" applyFill="1" applyBorder="1"/>
    <xf numFmtId="0" fontId="0" fillId="0" borderId="0" xfId="0" quotePrefix="1" applyAlignment="1">
      <alignment horizontal="right"/>
    </xf>
    <xf numFmtId="166" fontId="0" fillId="0" borderId="5" xfId="1" applyNumberFormat="1" applyFont="1" applyFill="1" applyBorder="1"/>
    <xf numFmtId="166" fontId="0" fillId="0" borderId="7" xfId="1" applyNumberFormat="1" applyFont="1" applyFill="1" applyBorder="1"/>
    <xf numFmtId="0" fontId="0" fillId="0" borderId="9" xfId="0" applyFill="1" applyBorder="1"/>
    <xf numFmtId="0" fontId="2" fillId="8" borderId="11" xfId="0" applyFont="1" applyFill="1" applyBorder="1" applyAlignment="1"/>
    <xf numFmtId="0" fontId="9" fillId="7" borderId="0" xfId="0" applyFont="1" applyFill="1"/>
    <xf numFmtId="0" fontId="0" fillId="0" borderId="14" xfId="0" applyFont="1" applyFill="1" applyBorder="1" applyAlignment="1">
      <alignment horizontal="left"/>
    </xf>
    <xf numFmtId="0" fontId="0" fillId="0" borderId="15" xfId="0" applyFont="1" applyFill="1" applyBorder="1" applyAlignment="1">
      <alignment horizontal="left"/>
    </xf>
    <xf numFmtId="9" fontId="2" fillId="0" borderId="0" xfId="2" applyFont="1" applyFill="1" applyBorder="1"/>
    <xf numFmtId="166" fontId="4" fillId="0" borderId="0" xfId="1" applyNumberFormat="1" applyFont="1" applyFill="1" applyBorder="1"/>
    <xf numFmtId="0" fontId="0" fillId="0" borderId="12" xfId="0" applyBorder="1"/>
    <xf numFmtId="9" fontId="5" fillId="0" borderId="0" xfId="2" applyFont="1" applyFill="1" applyBorder="1"/>
    <xf numFmtId="0" fontId="0" fillId="0" borderId="0" xfId="0" applyFont="1" applyFill="1" applyBorder="1" applyAlignment="1">
      <alignment horizontal="left"/>
    </xf>
    <xf numFmtId="164" fontId="0" fillId="9" borderId="6" xfId="1" applyFont="1" applyFill="1" applyBorder="1"/>
    <xf numFmtId="164" fontId="0" fillId="9" borderId="8" xfId="1" applyFont="1" applyFill="1" applyBorder="1"/>
    <xf numFmtId="0" fontId="4" fillId="0" borderId="13" xfId="0" applyFont="1" applyFill="1" applyBorder="1" applyAlignment="1">
      <alignment horizontal="left"/>
    </xf>
    <xf numFmtId="0" fontId="0" fillId="9" borderId="6" xfId="0" applyFill="1" applyBorder="1"/>
    <xf numFmtId="9" fontId="0" fillId="9" borderId="14" xfId="2" applyFont="1" applyFill="1" applyBorder="1"/>
    <xf numFmtId="0" fontId="0" fillId="9" borderId="14" xfId="0" applyFill="1" applyBorder="1"/>
    <xf numFmtId="164" fontId="0" fillId="0" borderId="15" xfId="1" applyFont="1" applyFill="1" applyBorder="1" applyAlignment="1">
      <alignment horizontal="center"/>
    </xf>
    <xf numFmtId="166" fontId="0" fillId="0" borderId="1" xfId="1" applyNumberFormat="1" applyFont="1" applyFill="1" applyBorder="1"/>
    <xf numFmtId="168" fontId="0" fillId="0" borderId="0" xfId="0" applyNumberFormat="1" applyBorder="1"/>
    <xf numFmtId="0" fontId="8" fillId="10" borderId="0" xfId="0" applyFont="1" applyFill="1"/>
    <xf numFmtId="0" fontId="0" fillId="10" borderId="0" xfId="0" applyFill="1"/>
    <xf numFmtId="0" fontId="0" fillId="0" borderId="0" xfId="0" applyFill="1" applyBorder="1" applyAlignment="1">
      <alignment horizontal="left"/>
    </xf>
    <xf numFmtId="0" fontId="0" fillId="0" borderId="12" xfId="0" applyFill="1" applyBorder="1" applyAlignment="1">
      <alignment horizontal="left"/>
    </xf>
    <xf numFmtId="0" fontId="3" fillId="11" borderId="0" xfId="0" applyFont="1" applyFill="1"/>
    <xf numFmtId="9" fontId="1" fillId="0" borderId="12" xfId="2" applyFont="1" applyFill="1" applyBorder="1" applyAlignment="1">
      <alignment horizontal="center"/>
    </xf>
    <xf numFmtId="9" fontId="1" fillId="0" borderId="4" xfId="2" applyFont="1" applyFill="1" applyBorder="1" applyAlignment="1">
      <alignment horizontal="center"/>
    </xf>
    <xf numFmtId="0" fontId="0" fillId="0" borderId="10" xfId="0" applyFill="1" applyBorder="1"/>
    <xf numFmtId="166" fontId="12" fillId="0" borderId="5" xfId="1" applyNumberFormat="1" applyFont="1" applyBorder="1" applyAlignment="1">
      <alignment vertical="center"/>
    </xf>
    <xf numFmtId="166" fontId="12" fillId="0" borderId="0" xfId="1" applyNumberFormat="1" applyFont="1" applyBorder="1" applyAlignment="1">
      <alignment vertical="center"/>
    </xf>
    <xf numFmtId="166" fontId="12" fillId="0" borderId="1" xfId="1" applyNumberFormat="1" applyFont="1" applyBorder="1" applyAlignment="1">
      <alignment vertical="center"/>
    </xf>
    <xf numFmtId="166" fontId="12" fillId="0" borderId="10" xfId="1" applyNumberFormat="1" applyFont="1" applyBorder="1" applyAlignment="1">
      <alignment vertical="center"/>
    </xf>
    <xf numFmtId="166" fontId="12" fillId="0" borderId="7" xfId="1" applyNumberFormat="1" applyFont="1" applyBorder="1" applyAlignment="1">
      <alignment vertical="center"/>
    </xf>
    <xf numFmtId="166" fontId="12" fillId="0" borderId="9" xfId="1" applyNumberFormat="1" applyFont="1" applyBorder="1" applyAlignment="1">
      <alignment vertical="center"/>
    </xf>
    <xf numFmtId="0" fontId="0" fillId="3" borderId="0" xfId="0" applyFill="1" applyBorder="1"/>
    <xf numFmtId="0" fontId="0" fillId="3" borderId="9" xfId="0" applyFill="1" applyBorder="1"/>
    <xf numFmtId="0" fontId="0" fillId="3" borderId="10" xfId="0" applyFill="1" applyBorder="1"/>
    <xf numFmtId="0" fontId="11" fillId="11" borderId="11" xfId="0" applyFont="1" applyFill="1" applyBorder="1"/>
    <xf numFmtId="0" fontId="0" fillId="11" borderId="0" xfId="0" applyFill="1"/>
    <xf numFmtId="0" fontId="13" fillId="11" borderId="0" xfId="0" applyFont="1" applyFill="1"/>
    <xf numFmtId="166" fontId="2" fillId="0" borderId="3" xfId="1" applyNumberFormat="1" applyFont="1" applyFill="1" applyBorder="1" applyAlignment="1">
      <alignment horizontal="center"/>
    </xf>
    <xf numFmtId="166" fontId="2" fillId="0" borderId="4" xfId="1" applyNumberFormat="1" applyFont="1" applyFill="1" applyBorder="1" applyAlignment="1">
      <alignment horizontal="center"/>
    </xf>
    <xf numFmtId="166" fontId="2" fillId="0" borderId="13" xfId="1" applyNumberFormat="1" applyFont="1" applyFill="1" applyBorder="1" applyAlignment="1">
      <alignment horizontal="center"/>
    </xf>
    <xf numFmtId="0" fontId="3" fillId="0" borderId="0" xfId="0" applyFont="1" applyFill="1"/>
    <xf numFmtId="0" fontId="11" fillId="11" borderId="1" xfId="0" applyFont="1" applyFill="1" applyBorder="1"/>
    <xf numFmtId="0" fontId="3" fillId="11" borderId="10" xfId="0" applyFont="1" applyFill="1" applyBorder="1"/>
    <xf numFmtId="0" fontId="0" fillId="3" borderId="10" xfId="0" applyFill="1" applyBorder="1" applyAlignment="1">
      <alignment horizontal="left" wrapText="1"/>
    </xf>
    <xf numFmtId="0" fontId="2" fillId="3" borderId="0" xfId="0" applyFont="1" applyFill="1" applyBorder="1" applyAlignment="1">
      <alignment horizontal="left"/>
    </xf>
    <xf numFmtId="0" fontId="0" fillId="3" borderId="0" xfId="0" applyFill="1" applyBorder="1" applyAlignment="1">
      <alignment wrapText="1"/>
    </xf>
    <xf numFmtId="0" fontId="2" fillId="3" borderId="0" xfId="0" applyFont="1" applyFill="1" applyBorder="1"/>
    <xf numFmtId="0" fontId="14" fillId="11" borderId="3" xfId="0" applyFont="1" applyFill="1" applyBorder="1"/>
    <xf numFmtId="0" fontId="2" fillId="3" borderId="0" xfId="0" applyFont="1" applyFill="1" applyBorder="1" applyAlignment="1">
      <alignment horizontal="center" vertical="center"/>
    </xf>
    <xf numFmtId="0" fontId="5" fillId="3" borderId="0" xfId="0" applyFont="1" applyFill="1" applyBorder="1" applyAlignment="1">
      <alignment horizontal="left" vertical="center" indent="1"/>
    </xf>
    <xf numFmtId="0" fontId="5" fillId="0" borderId="0" xfId="0" applyFont="1" applyFill="1" applyBorder="1" applyAlignment="1">
      <alignment horizontal="left"/>
    </xf>
    <xf numFmtId="0" fontId="0" fillId="0" borderId="14" xfId="0" applyFill="1" applyBorder="1"/>
    <xf numFmtId="0" fontId="0" fillId="0" borderId="6" xfId="0" applyFill="1" applyBorder="1"/>
    <xf numFmtId="0" fontId="0" fillId="0" borderId="15" xfId="0" applyFill="1" applyBorder="1"/>
    <xf numFmtId="0" fontId="0" fillId="0" borderId="8" xfId="0" applyFill="1" applyBorder="1"/>
    <xf numFmtId="166" fontId="0" fillId="0" borderId="0" xfId="1" applyNumberFormat="1" applyFont="1" applyFill="1" applyBorder="1" applyAlignment="1">
      <alignment horizontal="center"/>
    </xf>
    <xf numFmtId="166" fontId="0" fillId="0" borderId="13" xfId="1" applyNumberFormat="1" applyFont="1" applyFill="1" applyBorder="1"/>
    <xf numFmtId="166" fontId="0" fillId="0" borderId="12" xfId="1" applyNumberFormat="1" applyFont="1" applyFill="1" applyBorder="1" applyAlignment="1">
      <alignment horizontal="center"/>
    </xf>
    <xf numFmtId="166" fontId="0" fillId="0" borderId="0" xfId="0" applyNumberFormat="1" applyFill="1" applyBorder="1"/>
    <xf numFmtId="0" fontId="0" fillId="0" borderId="0" xfId="0" quotePrefix="1" applyFill="1"/>
    <xf numFmtId="168" fontId="0" fillId="0" borderId="0" xfId="0" applyNumberFormat="1" applyFill="1" applyBorder="1"/>
    <xf numFmtId="2" fontId="0" fillId="0" borderId="0" xfId="0" quotePrefix="1" applyNumberFormat="1"/>
    <xf numFmtId="0" fontId="0" fillId="0" borderId="7" xfId="0" applyBorder="1" applyAlignment="1">
      <alignment horizontal="center"/>
    </xf>
    <xf numFmtId="0" fontId="0" fillId="0" borderId="13" xfId="0" applyBorder="1" applyAlignment="1">
      <alignment horizontal="center"/>
    </xf>
    <xf numFmtId="9" fontId="0" fillId="0" borderId="0" xfId="2" applyFont="1"/>
    <xf numFmtId="167" fontId="0" fillId="0" borderId="15" xfId="2" applyNumberFormat="1" applyFont="1" applyFill="1" applyBorder="1"/>
    <xf numFmtId="167" fontId="0" fillId="0" borderId="8" xfId="2" applyNumberFormat="1" applyFont="1" applyFill="1" applyBorder="1"/>
    <xf numFmtId="164" fontId="0" fillId="0" borderId="0" xfId="1" applyFont="1"/>
    <xf numFmtId="0" fontId="0" fillId="0" borderId="2" xfId="0" applyBorder="1"/>
    <xf numFmtId="167" fontId="0" fillId="0" borderId="0" xfId="2" applyNumberFormat="1" applyFont="1"/>
    <xf numFmtId="0" fontId="0" fillId="0" borderId="10" xfId="0" applyBorder="1"/>
    <xf numFmtId="167" fontId="0" fillId="0" borderId="0" xfId="2" applyNumberFormat="1" applyFont="1" applyBorder="1"/>
    <xf numFmtId="167" fontId="0" fillId="0" borderId="6" xfId="2" applyNumberFormat="1" applyFont="1" applyBorder="1"/>
    <xf numFmtId="0" fontId="0" fillId="0" borderId="0" xfId="0" applyBorder="1" applyAlignment="1">
      <alignment horizontal="center"/>
    </xf>
    <xf numFmtId="167" fontId="0" fillId="0" borderId="0" xfId="2" applyNumberFormat="1" applyFont="1" applyFill="1" applyBorder="1"/>
    <xf numFmtId="0" fontId="0" fillId="0" borderId="0" xfId="0" applyAlignment="1">
      <alignment horizontal="right"/>
    </xf>
    <xf numFmtId="167" fontId="15" fillId="0" borderId="0" xfId="2" applyNumberFormat="1" applyFont="1" applyFill="1" applyBorder="1"/>
    <xf numFmtId="2" fontId="0" fillId="0" borderId="0" xfId="0" applyNumberFormat="1"/>
    <xf numFmtId="165" fontId="0" fillId="9" borderId="14" xfId="1" applyNumberFormat="1" applyFont="1" applyFill="1" applyBorder="1"/>
    <xf numFmtId="165" fontId="0" fillId="9" borderId="6" xfId="1" applyNumberFormat="1" applyFont="1" applyFill="1" applyBorder="1"/>
    <xf numFmtId="0" fontId="0" fillId="0" borderId="12" xfId="0" applyFont="1" applyFill="1" applyBorder="1" applyAlignment="1">
      <alignment horizontal="left"/>
    </xf>
    <xf numFmtId="0" fontId="0" fillId="0" borderId="13" xfId="0" applyFill="1" applyBorder="1"/>
    <xf numFmtId="0" fontId="0" fillId="0" borderId="13" xfId="0" applyFill="1" applyBorder="1" applyAlignment="1">
      <alignment horizontal="left"/>
    </xf>
    <xf numFmtId="0" fontId="2" fillId="0" borderId="12" xfId="0" applyFont="1" applyBorder="1"/>
    <xf numFmtId="0" fontId="2" fillId="0" borderId="12" xfId="0" applyFont="1" applyFill="1" applyBorder="1" applyAlignment="1">
      <alignment horizontal="left"/>
    </xf>
    <xf numFmtId="166" fontId="2" fillId="0" borderId="3" xfId="1" applyNumberFormat="1" applyFont="1" applyFill="1" applyBorder="1"/>
    <xf numFmtId="166" fontId="2" fillId="0" borderId="4" xfId="1" applyNumberFormat="1" applyFont="1" applyFill="1" applyBorder="1"/>
    <xf numFmtId="166" fontId="2" fillId="0" borderId="11" xfId="1" applyNumberFormat="1" applyFont="1" applyFill="1" applyBorder="1"/>
    <xf numFmtId="166" fontId="2" fillId="0" borderId="1" xfId="1" applyNumberFormat="1" applyFont="1" applyFill="1" applyBorder="1" applyAlignment="1">
      <alignment horizontal="center"/>
    </xf>
    <xf numFmtId="166" fontId="2" fillId="0" borderId="10" xfId="1" applyNumberFormat="1" applyFont="1" applyFill="1" applyBorder="1" applyAlignment="1">
      <alignment horizontal="center"/>
    </xf>
    <xf numFmtId="9" fontId="0" fillId="0" borderId="0" xfId="2" applyNumberFormat="1" applyFont="1" applyFill="1" applyBorder="1"/>
    <xf numFmtId="0" fontId="0" fillId="0" borderId="11" xfId="0" applyFont="1" applyFill="1" applyBorder="1" applyAlignment="1">
      <alignment horizontal="left"/>
    </xf>
    <xf numFmtId="165" fontId="5" fillId="0" borderId="0" xfId="1" applyNumberFormat="1" applyFont="1" applyFill="1" applyBorder="1"/>
    <xf numFmtId="0" fontId="0" fillId="0" borderId="1" xfId="0" applyFont="1" applyFill="1" applyBorder="1" applyAlignment="1">
      <alignment horizontal="left"/>
    </xf>
    <xf numFmtId="165" fontId="0" fillId="0" borderId="10" xfId="1" applyNumberFormat="1" applyFont="1" applyFill="1" applyBorder="1"/>
    <xf numFmtId="0" fontId="0" fillId="0" borderId="5" xfId="0" applyFont="1" applyFill="1" applyBorder="1" applyAlignment="1">
      <alignment horizontal="left"/>
    </xf>
    <xf numFmtId="0" fontId="0" fillId="0" borderId="7" xfId="0" applyFont="1" applyFill="1" applyBorder="1" applyAlignment="1">
      <alignment horizontal="left"/>
    </xf>
    <xf numFmtId="165" fontId="0" fillId="0" borderId="9" xfId="1" applyNumberFormat="1" applyFont="1" applyFill="1" applyBorder="1"/>
    <xf numFmtId="166" fontId="0" fillId="0" borderId="2" xfId="1" applyNumberFormat="1" applyFont="1" applyFill="1" applyBorder="1" applyAlignment="1">
      <alignment horizontal="right"/>
    </xf>
    <xf numFmtId="166" fontId="0" fillId="0" borderId="6" xfId="1" applyNumberFormat="1" applyFont="1" applyFill="1" applyBorder="1" applyAlignment="1">
      <alignment horizontal="right"/>
    </xf>
    <xf numFmtId="9" fontId="0" fillId="0" borderId="6" xfId="2" applyFont="1" applyFill="1" applyBorder="1" applyAlignment="1">
      <alignment horizontal="right"/>
    </xf>
    <xf numFmtId="2" fontId="0" fillId="0" borderId="0" xfId="0" quotePrefix="1" applyNumberFormat="1" applyAlignment="1">
      <alignment horizontal="right"/>
    </xf>
    <xf numFmtId="167" fontId="0" fillId="10" borderId="0" xfId="2" applyNumberFormat="1" applyFont="1" applyFill="1"/>
    <xf numFmtId="165" fontId="0" fillId="9" borderId="13" xfId="1" applyNumberFormat="1" applyFont="1" applyFill="1" applyBorder="1"/>
    <xf numFmtId="165" fontId="0" fillId="9" borderId="15" xfId="1" applyNumberFormat="1" applyFont="1" applyFill="1" applyBorder="1"/>
    <xf numFmtId="0" fontId="0" fillId="0" borderId="2" xfId="0" applyFill="1" applyBorder="1"/>
    <xf numFmtId="165" fontId="0" fillId="0" borderId="6" xfId="0" applyNumberFormat="1" applyFill="1" applyBorder="1"/>
    <xf numFmtId="167" fontId="0" fillId="0" borderId="4" xfId="2" applyNumberFormat="1" applyFont="1" applyFill="1" applyBorder="1" applyAlignment="1">
      <alignment horizontal="center"/>
    </xf>
    <xf numFmtId="165" fontId="0" fillId="0" borderId="13" xfId="1" applyNumberFormat="1" applyFont="1" applyFill="1" applyBorder="1" applyAlignment="1">
      <alignment horizontal="right"/>
    </xf>
    <xf numFmtId="166" fontId="0" fillId="0" borderId="14" xfId="1" applyNumberFormat="1" applyFont="1" applyFill="1" applyBorder="1" applyAlignment="1">
      <alignment horizontal="right"/>
    </xf>
    <xf numFmtId="10" fontId="0" fillId="0" borderId="14" xfId="2" applyNumberFormat="1" applyFont="1" applyFill="1" applyBorder="1"/>
    <xf numFmtId="2" fontId="0" fillId="0" borderId="0" xfId="0" applyNumberFormat="1" applyFill="1" applyBorder="1"/>
    <xf numFmtId="167" fontId="0" fillId="0" borderId="7" xfId="2" applyNumberFormat="1" applyFont="1" applyFill="1" applyBorder="1" applyAlignment="1">
      <alignment horizontal="left"/>
    </xf>
    <xf numFmtId="165" fontId="0" fillId="0" borderId="14" xfId="1" applyNumberFormat="1" applyFont="1" applyFill="1" applyBorder="1"/>
    <xf numFmtId="165" fontId="0" fillId="0" borderId="15" xfId="1" applyNumberFormat="1" applyFont="1" applyFill="1" applyBorder="1"/>
    <xf numFmtId="165" fontId="2" fillId="0" borderId="12" xfId="1" applyNumberFormat="1" applyFont="1" applyFill="1" applyBorder="1"/>
    <xf numFmtId="166" fontId="2" fillId="0" borderId="12" xfId="1" applyNumberFormat="1" applyFont="1" applyFill="1" applyBorder="1"/>
    <xf numFmtId="164" fontId="0" fillId="0" borderId="0" xfId="1" applyNumberFormat="1" applyFont="1"/>
    <xf numFmtId="0" fontId="0" fillId="0" borderId="15" xfId="0" applyBorder="1" applyAlignment="1">
      <alignment horizontal="left"/>
    </xf>
    <xf numFmtId="0" fontId="0" fillId="0" borderId="5" xfId="0" applyBorder="1" applyAlignment="1">
      <alignment horizontal="left"/>
    </xf>
    <xf numFmtId="0" fontId="0" fillId="0" borderId="7" xfId="0" applyBorder="1" applyAlignment="1">
      <alignment horizontal="left"/>
    </xf>
    <xf numFmtId="9" fontId="0" fillId="0" borderId="0" xfId="0" applyNumberFormat="1" applyBorder="1"/>
    <xf numFmtId="9" fontId="0" fillId="0" borderId="9" xfId="0" applyNumberFormat="1" applyBorder="1"/>
    <xf numFmtId="165" fontId="0" fillId="0" borderId="9" xfId="1" applyNumberFormat="1" applyFont="1" applyBorder="1"/>
    <xf numFmtId="0" fontId="0" fillId="0" borderId="0" xfId="0" applyFont="1" applyFill="1" applyBorder="1"/>
    <xf numFmtId="9" fontId="0" fillId="0" borderId="9" xfId="2" applyFont="1" applyFill="1" applyBorder="1" applyAlignment="1">
      <alignment horizontal="center"/>
    </xf>
    <xf numFmtId="9" fontId="0" fillId="0" borderId="9" xfId="2" applyFont="1" applyBorder="1" applyAlignment="1">
      <alignment horizontal="center"/>
    </xf>
    <xf numFmtId="9" fontId="0" fillId="0" borderId="8" xfId="2" applyFont="1" applyBorder="1" applyAlignment="1">
      <alignment horizontal="center"/>
    </xf>
    <xf numFmtId="166" fontId="0" fillId="0" borderId="2" xfId="2" applyNumberFormat="1" applyFont="1" applyFill="1" applyBorder="1" applyAlignment="1">
      <alignment horizontal="right"/>
    </xf>
    <xf numFmtId="166" fontId="0" fillId="0" borderId="6" xfId="2" applyNumberFormat="1" applyFont="1" applyFill="1" applyBorder="1" applyAlignment="1">
      <alignment horizontal="right"/>
    </xf>
    <xf numFmtId="164" fontId="0" fillId="0" borderId="6" xfId="1" applyFont="1" applyFill="1" applyBorder="1" applyAlignment="1">
      <alignment horizontal="right"/>
    </xf>
    <xf numFmtId="10" fontId="0" fillId="0" borderId="6" xfId="2" applyNumberFormat="1" applyFont="1" applyFill="1" applyBorder="1" applyAlignment="1">
      <alignment horizontal="right"/>
    </xf>
    <xf numFmtId="164" fontId="0" fillId="0" borderId="6" xfId="0" applyNumberFormat="1" applyBorder="1"/>
    <xf numFmtId="0" fontId="15" fillId="10" borderId="0" xfId="0" applyFont="1" applyFill="1"/>
    <xf numFmtId="0" fontId="16" fillId="6" borderId="0" xfId="0" applyFont="1" applyFill="1"/>
    <xf numFmtId="0" fontId="15" fillId="0" borderId="0" xfId="0" applyFont="1"/>
    <xf numFmtId="166" fontId="15" fillId="0" borderId="0" xfId="1" applyNumberFormat="1" applyFont="1" applyFill="1" applyBorder="1"/>
    <xf numFmtId="0" fontId="15" fillId="0" borderId="0" xfId="0" applyFont="1" applyFill="1" applyBorder="1"/>
    <xf numFmtId="165" fontId="15" fillId="0" borderId="0" xfId="1" applyNumberFormat="1" applyFont="1" applyFill="1" applyBorder="1"/>
    <xf numFmtId="0" fontId="15" fillId="0" borderId="0" xfId="0" applyFont="1" applyFill="1" applyBorder="1" applyAlignment="1">
      <alignment horizontal="left"/>
    </xf>
    <xf numFmtId="166" fontId="15" fillId="0" borderId="2" xfId="1" applyNumberFormat="1" applyFont="1" applyFill="1" applyBorder="1"/>
    <xf numFmtId="166" fontId="15" fillId="0" borderId="6" xfId="1" applyNumberFormat="1" applyFont="1" applyFill="1" applyBorder="1"/>
    <xf numFmtId="166" fontId="15" fillId="0" borderId="8" xfId="1" applyNumberFormat="1" applyFont="1" applyFill="1" applyBorder="1"/>
    <xf numFmtId="0" fontId="15" fillId="0" borderId="0" xfId="0" applyFont="1" applyBorder="1"/>
    <xf numFmtId="164" fontId="15" fillId="0" borderId="0" xfId="1" applyFont="1"/>
    <xf numFmtId="167" fontId="15" fillId="0" borderId="0" xfId="2" applyNumberFormat="1" applyFont="1"/>
    <xf numFmtId="165" fontId="15" fillId="0" borderId="10" xfId="1" applyNumberFormat="1" applyFont="1" applyFill="1" applyBorder="1"/>
    <xf numFmtId="0" fontId="15" fillId="0" borderId="6" xfId="0" applyFont="1" applyBorder="1"/>
    <xf numFmtId="165" fontId="15" fillId="0" borderId="9" xfId="1" applyNumberFormat="1" applyFont="1" applyFill="1" applyBorder="1"/>
    <xf numFmtId="164" fontId="0" fillId="0" borderId="6" xfId="1" applyNumberFormat="1" applyFont="1" applyFill="1" applyBorder="1" applyAlignment="1">
      <alignment horizontal="right"/>
    </xf>
    <xf numFmtId="0" fontId="0" fillId="0" borderId="0" xfId="0" applyFont="1"/>
    <xf numFmtId="2" fontId="0" fillId="0" borderId="0" xfId="0" quotePrefix="1" applyNumberFormat="1" applyFont="1" applyAlignment="1">
      <alignment horizontal="right"/>
    </xf>
    <xf numFmtId="0" fontId="0" fillId="0" borderId="4" xfId="0" applyFont="1" applyBorder="1"/>
    <xf numFmtId="0" fontId="0" fillId="0" borderId="2" xfId="0" applyFont="1" applyBorder="1"/>
    <xf numFmtId="0" fontId="0" fillId="0" borderId="2" xfId="0" applyFont="1" applyFill="1" applyBorder="1"/>
    <xf numFmtId="0" fontId="0" fillId="0" borderId="6" xfId="0" applyFont="1" applyFill="1" applyBorder="1"/>
    <xf numFmtId="166" fontId="1" fillId="0" borderId="12" xfId="1" applyNumberFormat="1" applyFont="1" applyFill="1" applyBorder="1" applyAlignment="1">
      <alignment horizontal="center"/>
    </xf>
    <xf numFmtId="167" fontId="1" fillId="0" borderId="4" xfId="2" applyNumberFormat="1" applyFont="1" applyFill="1" applyBorder="1" applyAlignment="1">
      <alignment horizontal="center"/>
    </xf>
    <xf numFmtId="165" fontId="1" fillId="0" borderId="14" xfId="1" applyNumberFormat="1" applyFont="1" applyFill="1" applyBorder="1"/>
    <xf numFmtId="165" fontId="0" fillId="0" borderId="6" xfId="0" applyNumberFormat="1" applyFont="1" applyFill="1" applyBorder="1"/>
    <xf numFmtId="165" fontId="0" fillId="0" borderId="14" xfId="0" applyNumberFormat="1" applyFont="1" applyBorder="1"/>
    <xf numFmtId="165" fontId="1" fillId="0" borderId="6" xfId="0" applyNumberFormat="1" applyFont="1" applyFill="1" applyBorder="1"/>
    <xf numFmtId="165" fontId="1" fillId="0" borderId="14" xfId="1" applyNumberFormat="1" applyFont="1" applyBorder="1"/>
    <xf numFmtId="165" fontId="1" fillId="0" borderId="6" xfId="1" applyNumberFormat="1" applyFont="1" applyBorder="1"/>
    <xf numFmtId="10" fontId="1" fillId="0" borderId="14" xfId="2" applyNumberFormat="1" applyFont="1" applyFill="1" applyBorder="1"/>
    <xf numFmtId="166" fontId="1" fillId="0" borderId="6" xfId="1" applyNumberFormat="1" applyFont="1" applyFill="1" applyBorder="1"/>
    <xf numFmtId="165" fontId="1" fillId="0" borderId="15" xfId="1" applyNumberFormat="1" applyFont="1" applyFill="1" applyBorder="1"/>
    <xf numFmtId="0" fontId="0" fillId="0" borderId="6" xfId="0" applyFont="1" applyBorder="1"/>
    <xf numFmtId="165" fontId="2" fillId="0" borderId="0" xfId="1" applyNumberFormat="1" applyFont="1" applyFill="1" applyBorder="1"/>
    <xf numFmtId="0" fontId="4" fillId="0" borderId="11" xfId="0" applyFont="1" applyFill="1" applyBorder="1" applyAlignment="1">
      <alignment horizontal="left"/>
    </xf>
    <xf numFmtId="165" fontId="0" fillId="0" borderId="3" xfId="1" applyNumberFormat="1" applyFont="1" applyFill="1" applyBorder="1"/>
    <xf numFmtId="0" fontId="0" fillId="12" borderId="0" xfId="0" applyFill="1"/>
    <xf numFmtId="165" fontId="0" fillId="12" borderId="12" xfId="1" applyNumberFormat="1" applyFont="1" applyFill="1" applyBorder="1" applyAlignment="1">
      <alignment horizontal="center"/>
    </xf>
    <xf numFmtId="0" fontId="7" fillId="3" borderId="16" xfId="0" applyFont="1" applyFill="1" applyBorder="1"/>
    <xf numFmtId="0" fontId="6" fillId="3" borderId="0" xfId="0" applyFont="1" applyFill="1" applyBorder="1"/>
    <xf numFmtId="0" fontId="6" fillId="3" borderId="17" xfId="0" applyFont="1" applyFill="1" applyBorder="1"/>
    <xf numFmtId="0" fontId="7" fillId="3" borderId="20" xfId="0" applyFont="1" applyFill="1" applyBorder="1" applyAlignment="1">
      <alignment horizontal="center"/>
    </xf>
    <xf numFmtId="0" fontId="17" fillId="3" borderId="0" xfId="0" applyFont="1" applyFill="1"/>
    <xf numFmtId="0" fontId="17" fillId="3" borderId="0" xfId="0" applyFont="1" applyFill="1" applyBorder="1"/>
    <xf numFmtId="9" fontId="0" fillId="9" borderId="14" xfId="0" applyNumberFormat="1" applyFont="1" applyFill="1" applyBorder="1"/>
    <xf numFmtId="9" fontId="0" fillId="9" borderId="6" xfId="0" applyNumberFormat="1" applyFont="1" applyFill="1" applyBorder="1"/>
    <xf numFmtId="9" fontId="0" fillId="9" borderId="15" xfId="0" applyNumberFormat="1" applyFont="1" applyFill="1" applyBorder="1"/>
    <xf numFmtId="9" fontId="0" fillId="9" borderId="8" xfId="0" applyNumberFormat="1" applyFont="1" applyFill="1" applyBorder="1"/>
    <xf numFmtId="0" fontId="0" fillId="0" borderId="1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14" xfId="0" applyFont="1" applyBorder="1" applyAlignment="1">
      <alignment horizontal="left"/>
    </xf>
    <xf numFmtId="0" fontId="0" fillId="0" borderId="15" xfId="0" applyFont="1" applyBorder="1" applyAlignment="1">
      <alignment horizontal="left"/>
    </xf>
    <xf numFmtId="166" fontId="2" fillId="0" borderId="0" xfId="1" applyNumberFormat="1" applyFont="1" applyFill="1" applyBorder="1"/>
    <xf numFmtId="166" fontId="10" fillId="0" borderId="0" xfId="1" applyNumberFormat="1" applyFont="1" applyFill="1" applyBorder="1"/>
    <xf numFmtId="166" fontId="0" fillId="0" borderId="6" xfId="1" applyNumberFormat="1" applyFont="1" applyBorder="1"/>
    <xf numFmtId="9" fontId="0" fillId="9" borderId="12" xfId="2" applyFont="1" applyFill="1" applyBorder="1"/>
    <xf numFmtId="9" fontId="4" fillId="0" borderId="4" xfId="2" applyFont="1" applyBorder="1"/>
    <xf numFmtId="2" fontId="0" fillId="0" borderId="0" xfId="0" applyNumberFormat="1" applyFont="1"/>
    <xf numFmtId="2" fontId="0" fillId="0" borderId="0" xfId="0" applyNumberFormat="1" applyFont="1" applyFill="1" applyBorder="1"/>
    <xf numFmtId="164" fontId="1" fillId="0" borderId="0" xfId="1" quotePrefix="1" applyNumberFormat="1" applyFont="1"/>
    <xf numFmtId="0" fontId="1" fillId="0" borderId="0" xfId="0" applyFont="1"/>
    <xf numFmtId="164" fontId="1" fillId="0" borderId="0" xfId="0" applyNumberFormat="1" applyFont="1"/>
    <xf numFmtId="2" fontId="1" fillId="0" borderId="0" xfId="0" applyNumberFormat="1" applyFont="1"/>
    <xf numFmtId="166" fontId="0" fillId="0" borderId="14" xfId="1" applyNumberFormat="1" applyFont="1" applyBorder="1"/>
    <xf numFmtId="9" fontId="7" fillId="3" borderId="0" xfId="2" applyFont="1" applyFill="1"/>
    <xf numFmtId="165" fontId="0" fillId="0" borderId="0" xfId="2" applyNumberFormat="1" applyFont="1"/>
    <xf numFmtId="0" fontId="19" fillId="3" borderId="0" xfId="0" applyFont="1" applyFill="1" applyBorder="1"/>
    <xf numFmtId="166" fontId="2" fillId="0" borderId="8" xfId="1" applyNumberFormat="1" applyFont="1" applyFill="1" applyBorder="1"/>
    <xf numFmtId="0" fontId="21" fillId="11" borderId="0" xfId="0" applyFont="1" applyFill="1" applyAlignment="1"/>
    <xf numFmtId="0" fontId="7" fillId="2" borderId="11" xfId="0" applyFont="1" applyFill="1" applyBorder="1" applyAlignment="1">
      <alignment vertical="center"/>
    </xf>
    <xf numFmtId="0" fontId="7" fillId="2" borderId="3" xfId="0" applyFont="1" applyFill="1" applyBorder="1" applyAlignment="1">
      <alignment vertical="center"/>
    </xf>
    <xf numFmtId="0" fontId="6" fillId="2" borderId="1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vertical="center"/>
    </xf>
    <xf numFmtId="169" fontId="7" fillId="2" borderId="14" xfId="1" applyNumberFormat="1" applyFont="1" applyFill="1" applyBorder="1" applyAlignment="1">
      <alignment vertical="center"/>
    </xf>
    <xf numFmtId="167" fontId="7" fillId="2" borderId="6" xfId="2" applyNumberFormat="1" applyFont="1" applyFill="1" applyBorder="1" applyAlignment="1">
      <alignment vertical="center"/>
    </xf>
    <xf numFmtId="169" fontId="7" fillId="2" borderId="6" xfId="1" applyNumberFormat="1" applyFont="1" applyFill="1" applyBorder="1" applyAlignment="1">
      <alignment vertical="center"/>
    </xf>
    <xf numFmtId="169" fontId="7" fillId="2" borderId="6" xfId="0" applyNumberFormat="1" applyFont="1" applyFill="1" applyBorder="1" applyAlignment="1">
      <alignment vertical="center"/>
    </xf>
    <xf numFmtId="1" fontId="7" fillId="2" borderId="14" xfId="1" applyNumberFormat="1" applyFont="1" applyFill="1" applyBorder="1" applyAlignment="1">
      <alignment vertical="center"/>
    </xf>
    <xf numFmtId="1" fontId="7" fillId="2" borderId="6" xfId="1" applyNumberFormat="1" applyFont="1" applyFill="1" applyBorder="1" applyAlignment="1">
      <alignment vertical="center"/>
    </xf>
    <xf numFmtId="0" fontId="6" fillId="5" borderId="3" xfId="0" applyFont="1" applyFill="1" applyBorder="1" applyAlignment="1">
      <alignment vertical="center"/>
    </xf>
    <xf numFmtId="169" fontId="6" fillId="5" borderId="12" xfId="1" applyNumberFormat="1" applyFont="1" applyFill="1" applyBorder="1" applyAlignment="1">
      <alignment vertical="center"/>
    </xf>
    <xf numFmtId="167" fontId="6" fillId="5" borderId="4" xfId="2" applyNumberFormat="1" applyFont="1" applyFill="1" applyBorder="1" applyAlignment="1">
      <alignment vertical="center"/>
    </xf>
    <xf numFmtId="169" fontId="6" fillId="5" borderId="4" xfId="1" applyNumberFormat="1" applyFont="1" applyFill="1" applyBorder="1" applyAlignment="1">
      <alignment vertical="center"/>
    </xf>
    <xf numFmtId="169" fontId="6" fillId="5" borderId="4" xfId="0" applyNumberFormat="1" applyFont="1" applyFill="1" applyBorder="1" applyAlignment="1">
      <alignment vertical="center"/>
    </xf>
    <xf numFmtId="0" fontId="6" fillId="4" borderId="11"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7" fillId="2" borderId="11" xfId="0" applyFont="1" applyFill="1" applyBorder="1" applyAlignment="1">
      <alignment horizontal="left" vertical="center"/>
    </xf>
    <xf numFmtId="0" fontId="7" fillId="2" borderId="4" xfId="0" applyFont="1" applyFill="1" applyBorder="1" applyAlignment="1">
      <alignment vertical="center"/>
    </xf>
    <xf numFmtId="0" fontId="7" fillId="2" borderId="7" xfId="0" applyFont="1" applyFill="1" applyBorder="1" applyAlignment="1">
      <alignment horizontal="left" vertical="center"/>
    </xf>
    <xf numFmtId="0" fontId="7" fillId="2" borderId="9" xfId="0" applyFont="1" applyFill="1" applyBorder="1" applyAlignment="1">
      <alignment vertical="center"/>
    </xf>
    <xf numFmtId="165" fontId="7" fillId="2" borderId="12" xfId="1" applyNumberFormat="1" applyFont="1" applyFill="1" applyBorder="1" applyAlignment="1">
      <alignment horizontal="center" vertical="center"/>
    </xf>
    <xf numFmtId="165" fontId="7" fillId="2" borderId="8" xfId="1" applyNumberFormat="1" applyFont="1" applyFill="1" applyBorder="1" applyAlignment="1">
      <alignment horizontal="center" vertical="center"/>
    </xf>
    <xf numFmtId="0" fontId="7" fillId="2" borderId="15" xfId="0" applyFont="1" applyFill="1" applyBorder="1" applyAlignment="1">
      <alignment vertical="center"/>
    </xf>
    <xf numFmtId="169" fontId="7" fillId="2" borderId="13" xfId="1" applyNumberFormat="1" applyFont="1" applyFill="1" applyBorder="1" applyAlignment="1">
      <alignment vertical="center"/>
    </xf>
    <xf numFmtId="9" fontId="7" fillId="2" borderId="2" xfId="2" applyFont="1" applyFill="1" applyBorder="1" applyAlignment="1">
      <alignment vertical="center"/>
    </xf>
    <xf numFmtId="169" fontId="7" fillId="2" borderId="13" xfId="0" applyNumberFormat="1" applyFont="1" applyFill="1" applyBorder="1" applyAlignment="1">
      <alignment vertical="center"/>
    </xf>
    <xf numFmtId="9" fontId="7" fillId="2" borderId="6" xfId="2" applyFont="1" applyFill="1" applyBorder="1" applyAlignment="1">
      <alignment vertical="center"/>
    </xf>
    <xf numFmtId="169" fontId="7" fillId="2" borderId="14" xfId="0" applyNumberFormat="1" applyFont="1" applyFill="1" applyBorder="1" applyAlignment="1">
      <alignment vertical="center"/>
    </xf>
    <xf numFmtId="9" fontId="6" fillId="5" borderId="4" xfId="2" applyFont="1" applyFill="1" applyBorder="1" applyAlignment="1">
      <alignment vertical="center"/>
    </xf>
    <xf numFmtId="169" fontId="6" fillId="5" borderId="12" xfId="0" applyNumberFormat="1" applyFont="1" applyFill="1" applyBorder="1" applyAlignment="1">
      <alignment vertical="center"/>
    </xf>
    <xf numFmtId="0" fontId="7" fillId="2" borderId="5" xfId="0" applyFont="1" applyFill="1" applyBorder="1" applyAlignment="1">
      <alignment horizontal="left" vertical="center" indent="1"/>
    </xf>
    <xf numFmtId="0" fontId="6" fillId="5" borderId="11" xfId="0" applyFont="1" applyFill="1" applyBorder="1" applyAlignment="1">
      <alignment horizontal="left" vertical="center" indent="1"/>
    </xf>
    <xf numFmtId="0" fontId="7" fillId="2" borderId="23" xfId="0" applyFont="1" applyFill="1" applyBorder="1"/>
    <xf numFmtId="0" fontId="18" fillId="2" borderId="0" xfId="0" applyFont="1" applyFill="1" applyBorder="1" applyAlignment="1">
      <alignment vertical="center"/>
    </xf>
    <xf numFmtId="0" fontId="7" fillId="2" borderId="22" xfId="0" applyFont="1" applyFill="1" applyBorder="1"/>
    <xf numFmtId="0" fontId="18" fillId="2" borderId="5" xfId="0" applyFont="1" applyFill="1" applyBorder="1" applyAlignment="1">
      <alignment horizontal="left" vertical="center" indent="4"/>
    </xf>
    <xf numFmtId="1" fontId="7" fillId="2" borderId="6" xfId="0" applyNumberFormat="1" applyFont="1" applyFill="1" applyBorder="1" applyAlignment="1">
      <alignment vertical="center"/>
    </xf>
    <xf numFmtId="9" fontId="0" fillId="9" borderId="14" xfId="1" applyNumberFormat="1" applyFont="1" applyFill="1" applyBorder="1"/>
    <xf numFmtId="9" fontId="0" fillId="9" borderId="6" xfId="1" applyNumberFormat="1" applyFont="1" applyFill="1" applyBorder="1"/>
    <xf numFmtId="0" fontId="7" fillId="2" borderId="21" xfId="0" applyFont="1" applyFill="1" applyBorder="1"/>
    <xf numFmtId="0" fontId="6" fillId="3" borderId="0" xfId="0" applyFont="1" applyFill="1" applyBorder="1" applyAlignment="1" applyProtection="1">
      <alignment horizontal="center"/>
      <protection locked="0"/>
    </xf>
    <xf numFmtId="0" fontId="20" fillId="13" borderId="0" xfId="0" applyFont="1" applyFill="1" applyBorder="1" applyAlignment="1" applyProtection="1">
      <alignment horizontal="center"/>
      <protection locked="0"/>
    </xf>
    <xf numFmtId="0" fontId="6" fillId="14" borderId="0" xfId="0" applyFont="1" applyFill="1" applyBorder="1" applyAlignment="1" applyProtection="1">
      <alignment horizontal="center"/>
      <protection locked="0"/>
    </xf>
    <xf numFmtId="0" fontId="20" fillId="15" borderId="0" xfId="0" applyFont="1" applyFill="1" applyBorder="1" applyAlignment="1" applyProtection="1">
      <alignment horizontal="center"/>
      <protection locked="0"/>
    </xf>
    <xf numFmtId="0" fontId="20" fillId="16" borderId="0" xfId="0" applyFont="1" applyFill="1" applyBorder="1" applyAlignment="1" applyProtection="1">
      <alignment horizontal="center"/>
      <protection locked="0"/>
    </xf>
    <xf numFmtId="0" fontId="7" fillId="2" borderId="6" xfId="0" applyFont="1" applyFill="1" applyBorder="1" applyAlignment="1">
      <alignment vertical="center"/>
    </xf>
    <xf numFmtId="0" fontId="6" fillId="2" borderId="4" xfId="0" applyFont="1" applyFill="1" applyBorder="1" applyAlignment="1">
      <alignment horizontal="center" vertical="center"/>
    </xf>
    <xf numFmtId="0" fontId="0" fillId="2" borderId="5" xfId="0" applyFill="1" applyBorder="1"/>
    <xf numFmtId="0" fontId="22" fillId="3" borderId="0" xfId="0" applyFont="1" applyFill="1" applyBorder="1" applyAlignment="1">
      <alignment horizontal="center"/>
    </xf>
    <xf numFmtId="0" fontId="23" fillId="3" borderId="0" xfId="0" applyFont="1" applyFill="1" applyBorder="1" applyAlignment="1">
      <alignment horizontal="center"/>
    </xf>
    <xf numFmtId="170" fontId="7" fillId="3" borderId="0" xfId="0" applyNumberFormat="1" applyFont="1" applyFill="1"/>
    <xf numFmtId="0" fontId="7" fillId="2" borderId="1" xfId="0" applyFont="1" applyFill="1" applyBorder="1" applyAlignment="1">
      <alignment horizontal="left" vertical="center" indent="1"/>
    </xf>
    <xf numFmtId="0" fontId="7" fillId="2" borderId="10" xfId="0" applyFont="1" applyFill="1" applyBorder="1" applyAlignment="1">
      <alignment horizontal="left" vertical="center" indent="1"/>
    </xf>
    <xf numFmtId="0" fontId="7" fillId="2" borderId="0" xfId="0" applyFont="1" applyFill="1" applyBorder="1" applyAlignment="1">
      <alignment horizontal="left" vertical="center" indent="1"/>
    </xf>
    <xf numFmtId="0" fontId="6" fillId="5" borderId="4" xfId="0" applyFont="1" applyFill="1" applyBorder="1" applyAlignment="1">
      <alignment vertical="center"/>
    </xf>
    <xf numFmtId="0" fontId="24" fillId="3" borderId="0" xfId="0" applyFont="1" applyFill="1"/>
    <xf numFmtId="171" fontId="0" fillId="0" borderId="0" xfId="0" applyNumberFormat="1"/>
    <xf numFmtId="172" fontId="0" fillId="0" borderId="0" xfId="1" applyNumberFormat="1" applyFont="1" applyBorder="1"/>
    <xf numFmtId="172" fontId="0" fillId="9" borderId="14" xfId="1" applyNumberFormat="1" applyFont="1" applyFill="1" applyBorder="1"/>
    <xf numFmtId="172" fontId="0" fillId="9" borderId="15" xfId="1" applyNumberFormat="1" applyFont="1" applyFill="1" applyBorder="1"/>
    <xf numFmtId="172" fontId="0" fillId="0" borderId="0" xfId="0" applyNumberFormat="1" applyBorder="1"/>
    <xf numFmtId="172" fontId="0" fillId="0" borderId="9" xfId="0" applyNumberFormat="1" applyBorder="1"/>
    <xf numFmtId="172" fontId="0" fillId="0" borderId="14" xfId="0" applyNumberFormat="1" applyFill="1" applyBorder="1"/>
    <xf numFmtId="172" fontId="0" fillId="0" borderId="6" xfId="1" applyNumberFormat="1" applyFont="1" applyFill="1" applyBorder="1"/>
    <xf numFmtId="172" fontId="0" fillId="0" borderId="15" xfId="0" applyNumberFormat="1" applyFill="1" applyBorder="1"/>
    <xf numFmtId="172" fontId="0" fillId="0" borderId="8" xfId="1" applyNumberFormat="1" applyFont="1" applyFill="1" applyBorder="1"/>
    <xf numFmtId="9" fontId="0" fillId="0" borderId="6" xfId="2" applyFont="1" applyFill="1" applyBorder="1"/>
    <xf numFmtId="172" fontId="0" fillId="9" borderId="0" xfId="3" applyNumberFormat="1" applyFont="1" applyFill="1" applyBorder="1"/>
    <xf numFmtId="172" fontId="0" fillId="9" borderId="10" xfId="3" applyNumberFormat="1" applyFont="1" applyFill="1" applyBorder="1"/>
    <xf numFmtId="167" fontId="0" fillId="9" borderId="13" xfId="2" applyNumberFormat="1" applyFont="1" applyFill="1" applyBorder="1"/>
    <xf numFmtId="167" fontId="0" fillId="9" borderId="2" xfId="2" applyNumberFormat="1" applyFont="1" applyFill="1" applyBorder="1"/>
    <xf numFmtId="167" fontId="0" fillId="9" borderId="14" xfId="2" applyNumberFormat="1" applyFont="1" applyFill="1" applyBorder="1"/>
    <xf numFmtId="167" fontId="0" fillId="9" borderId="6" xfId="2" applyNumberFormat="1" applyFont="1" applyFill="1" applyBorder="1"/>
    <xf numFmtId="167" fontId="0" fillId="9" borderId="15" xfId="2" applyNumberFormat="1" applyFont="1" applyFill="1" applyBorder="1"/>
    <xf numFmtId="167" fontId="0" fillId="9" borderId="8" xfId="2" applyNumberFormat="1" applyFont="1" applyFill="1" applyBorder="1"/>
    <xf numFmtId="10" fontId="0" fillId="9" borderId="14" xfId="2" applyNumberFormat="1" applyFont="1" applyFill="1" applyBorder="1"/>
    <xf numFmtId="10" fontId="0" fillId="9" borderId="0" xfId="2" applyNumberFormat="1" applyFont="1" applyFill="1" applyBorder="1"/>
    <xf numFmtId="10" fontId="0" fillId="9" borderId="6" xfId="2" applyNumberFormat="1" applyFont="1" applyFill="1" applyBorder="1"/>
    <xf numFmtId="10" fontId="0" fillId="9" borderId="15" xfId="2" applyNumberFormat="1" applyFont="1" applyFill="1" applyBorder="1"/>
    <xf numFmtId="10" fontId="0" fillId="9" borderId="9" xfId="2" applyNumberFormat="1" applyFont="1" applyFill="1" applyBorder="1"/>
    <xf numFmtId="10" fontId="0" fillId="9" borderId="8" xfId="2" applyNumberFormat="1" applyFont="1" applyFill="1" applyBorder="1"/>
    <xf numFmtId="164" fontId="0" fillId="9" borderId="5" xfId="1" applyFont="1" applyFill="1" applyBorder="1"/>
    <xf numFmtId="164" fontId="0" fillId="9" borderId="0" xfId="1" applyFont="1" applyFill="1" applyBorder="1"/>
    <xf numFmtId="164" fontId="0" fillId="9" borderId="7" xfId="1" applyFont="1" applyFill="1" applyBorder="1"/>
    <xf numFmtId="164" fontId="0" fillId="9" borderId="9" xfId="1" applyFont="1" applyFill="1" applyBorder="1"/>
    <xf numFmtId="0" fontId="6" fillId="4" borderId="11" xfId="0" applyFont="1" applyFill="1" applyBorder="1" applyAlignment="1">
      <alignment horizontal="left"/>
    </xf>
    <xf numFmtId="0" fontId="6" fillId="4" borderId="3" xfId="0" applyFont="1" applyFill="1" applyBorder="1" applyAlignment="1">
      <alignment horizontal="left"/>
    </xf>
    <xf numFmtId="0" fontId="6" fillId="4" borderId="4" xfId="0" applyFont="1" applyFill="1" applyBorder="1" applyAlignment="1">
      <alignment horizontal="left"/>
    </xf>
    <xf numFmtId="164" fontId="6" fillId="2" borderId="11" xfId="1" applyFont="1" applyFill="1" applyBorder="1" applyAlignment="1">
      <alignment horizontal="center" vertical="center"/>
    </xf>
    <xf numFmtId="164" fontId="6" fillId="2" borderId="4" xfId="1" applyFont="1" applyFill="1" applyBorder="1" applyAlignment="1">
      <alignment horizontal="center" vertical="center"/>
    </xf>
    <xf numFmtId="164" fontId="6" fillId="2" borderId="3" xfId="1" applyFont="1" applyFill="1" applyBorder="1" applyAlignment="1">
      <alignment horizontal="center" vertical="center"/>
    </xf>
    <xf numFmtId="0" fontId="7" fillId="2" borderId="0" xfId="0" applyFont="1" applyFill="1" applyBorder="1" applyAlignment="1">
      <alignment horizontal="center" vertical="center"/>
    </xf>
    <xf numFmtId="0" fontId="6" fillId="5" borderId="11" xfId="0" applyFont="1" applyFill="1" applyBorder="1" applyAlignment="1">
      <alignment horizontal="left" vertical="center" indent="1"/>
    </xf>
    <xf numFmtId="0" fontId="6" fillId="5" borderId="3" xfId="0" applyFont="1" applyFill="1" applyBorder="1" applyAlignment="1">
      <alignment horizontal="left" vertical="center" indent="1"/>
    </xf>
    <xf numFmtId="0" fontId="6" fillId="5" borderId="4" xfId="0" applyFont="1" applyFill="1" applyBorder="1" applyAlignment="1">
      <alignment horizontal="left" vertical="center" indent="1"/>
    </xf>
    <xf numFmtId="169" fontId="6" fillId="5" borderId="11" xfId="1" applyNumberFormat="1" applyFont="1" applyFill="1" applyBorder="1" applyAlignment="1">
      <alignment horizontal="right" vertical="center"/>
    </xf>
    <xf numFmtId="169" fontId="6" fillId="5" borderId="4" xfId="1" applyNumberFormat="1" applyFont="1" applyFill="1" applyBorder="1" applyAlignment="1">
      <alignment horizontal="right" vertical="center"/>
    </xf>
    <xf numFmtId="0" fontId="6" fillId="4" borderId="1" xfId="0" applyFont="1" applyFill="1" applyBorder="1" applyAlignment="1">
      <alignment horizontal="left" vertical="center"/>
    </xf>
    <xf numFmtId="0" fontId="6" fillId="4" borderId="10" xfId="0" applyFont="1" applyFill="1" applyBorder="1" applyAlignment="1">
      <alignment horizontal="left" vertical="center"/>
    </xf>
    <xf numFmtId="0" fontId="6" fillId="4" borderId="2" xfId="0" applyFont="1" applyFill="1" applyBorder="1" applyAlignment="1">
      <alignment horizontal="left" vertical="center"/>
    </xf>
    <xf numFmtId="165" fontId="6" fillId="2" borderId="11" xfId="1" applyNumberFormat="1" applyFont="1" applyFill="1" applyBorder="1" applyAlignment="1">
      <alignment horizontal="center" vertical="center"/>
    </xf>
    <xf numFmtId="165" fontId="6" fillId="2" borderId="4" xfId="1" applyNumberFormat="1" applyFont="1" applyFill="1" applyBorder="1" applyAlignment="1">
      <alignment horizontal="center" vertical="center"/>
    </xf>
    <xf numFmtId="167" fontId="0" fillId="0" borderId="1" xfId="2" applyNumberFormat="1" applyFont="1" applyFill="1" applyBorder="1" applyAlignment="1">
      <alignment horizontal="center"/>
    </xf>
    <xf numFmtId="167" fontId="0" fillId="0" borderId="10" xfId="2" applyNumberFormat="1" applyFont="1" applyFill="1" applyBorder="1" applyAlignment="1">
      <alignment horizontal="center"/>
    </xf>
    <xf numFmtId="167" fontId="0" fillId="0" borderId="2" xfId="2" applyNumberFormat="1" applyFont="1" applyFill="1" applyBorder="1" applyAlignment="1">
      <alignment horizontal="center"/>
    </xf>
    <xf numFmtId="167" fontId="0" fillId="0" borderId="5" xfId="2" applyNumberFormat="1" applyFont="1" applyFill="1" applyBorder="1" applyAlignment="1">
      <alignment horizontal="center"/>
    </xf>
    <xf numFmtId="167" fontId="0" fillId="0" borderId="0" xfId="2" applyNumberFormat="1" applyFont="1" applyFill="1" applyBorder="1" applyAlignment="1">
      <alignment horizontal="center"/>
    </xf>
    <xf numFmtId="167" fontId="0" fillId="0" borderId="6" xfId="2" applyNumberFormat="1" applyFont="1" applyFill="1"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Border="1" applyAlignment="1">
      <alignment horizontal="center"/>
    </xf>
    <xf numFmtId="0" fontId="0" fillId="0" borderId="15" xfId="0" applyBorder="1" applyAlignment="1">
      <alignment horizontal="center"/>
    </xf>
    <xf numFmtId="167" fontId="15" fillId="0" borderId="1" xfId="2" applyNumberFormat="1" applyFont="1" applyFill="1" applyBorder="1" applyAlignment="1">
      <alignment horizontal="center"/>
    </xf>
    <xf numFmtId="167" fontId="15" fillId="0" borderId="10" xfId="2" applyNumberFormat="1" applyFont="1" applyFill="1" applyBorder="1" applyAlignment="1">
      <alignment horizontal="center"/>
    </xf>
    <xf numFmtId="167" fontId="15" fillId="0" borderId="2" xfId="2" applyNumberFormat="1" applyFont="1" applyFill="1" applyBorder="1" applyAlignment="1">
      <alignment horizontal="center"/>
    </xf>
    <xf numFmtId="167" fontId="15" fillId="0" borderId="5" xfId="2" applyNumberFormat="1" applyFont="1" applyFill="1" applyBorder="1" applyAlignment="1">
      <alignment horizontal="center"/>
    </xf>
    <xf numFmtId="167" fontId="15" fillId="0" borderId="0" xfId="2" applyNumberFormat="1" applyFont="1" applyFill="1" applyBorder="1" applyAlignment="1">
      <alignment horizontal="center"/>
    </xf>
    <xf numFmtId="167" fontId="15" fillId="0" borderId="6" xfId="2" applyNumberFormat="1" applyFont="1" applyFill="1" applyBorder="1" applyAlignment="1">
      <alignment horizontal="center"/>
    </xf>
    <xf numFmtId="167" fontId="1" fillId="0" borderId="11" xfId="2" applyNumberFormat="1" applyFont="1" applyFill="1" applyBorder="1" applyAlignment="1">
      <alignment horizontal="center"/>
    </xf>
    <xf numFmtId="167" fontId="1" fillId="0" borderId="3" xfId="2" applyNumberFormat="1" applyFont="1" applyFill="1" applyBorder="1" applyAlignment="1">
      <alignment horizontal="center"/>
    </xf>
    <xf numFmtId="167" fontId="1" fillId="0" borderId="4" xfId="2" applyNumberFormat="1" applyFont="1" applyFill="1" applyBorder="1" applyAlignment="1">
      <alignment horizontal="center"/>
    </xf>
    <xf numFmtId="0" fontId="0" fillId="2" borderId="3" xfId="0" applyFont="1" applyFill="1" applyBorder="1" applyAlignment="1">
      <alignment horizontal="center"/>
    </xf>
    <xf numFmtId="0" fontId="0" fillId="2" borderId="4" xfId="0" applyFont="1" applyFill="1" applyBorder="1" applyAlignment="1">
      <alignment horizontal="center"/>
    </xf>
    <xf numFmtId="167" fontId="0" fillId="0" borderId="11" xfId="2" applyNumberFormat="1" applyFont="1" applyFill="1" applyBorder="1" applyAlignment="1">
      <alignment horizontal="center"/>
    </xf>
    <xf numFmtId="167" fontId="0" fillId="0" borderId="3" xfId="2" applyNumberFormat="1" applyFont="1" applyFill="1" applyBorder="1" applyAlignment="1">
      <alignment horizontal="center"/>
    </xf>
    <xf numFmtId="167" fontId="0" fillId="0" borderId="4" xfId="2" applyNumberFormat="1" applyFont="1" applyFill="1" applyBorder="1" applyAlignment="1">
      <alignment horizontal="center"/>
    </xf>
    <xf numFmtId="0" fontId="0" fillId="0" borderId="13" xfId="0" applyBorder="1" applyAlignment="1">
      <alignment horizontal="center" vertical="center"/>
    </xf>
    <xf numFmtId="0" fontId="0" fillId="0" borderId="15" xfId="0" applyBorder="1" applyAlignment="1">
      <alignment horizontal="center" vertical="center"/>
    </xf>
    <xf numFmtId="0" fontId="0" fillId="2" borderId="11"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0" borderId="3" xfId="0" applyFill="1" applyBorder="1"/>
    <xf numFmtId="0" fontId="0" fillId="0" borderId="0" xfId="0" applyAlignment="1"/>
    <xf numFmtId="0" fontId="5" fillId="0" borderId="0" xfId="0" applyFont="1" applyAlignment="1">
      <alignment horizontal="left" vertical="top" wrapText="1"/>
    </xf>
    <xf numFmtId="166" fontId="0" fillId="9" borderId="1" xfId="1" applyNumberFormat="1" applyFont="1" applyFill="1" applyBorder="1"/>
    <xf numFmtId="166" fontId="0" fillId="9" borderId="5" xfId="1" applyNumberFormat="1" applyFont="1" applyFill="1" applyBorder="1"/>
    <xf numFmtId="166" fontId="0" fillId="9" borderId="7" xfId="1" applyNumberFormat="1" applyFont="1" applyFill="1" applyBorder="1"/>
  </cellXfs>
  <cellStyles count="4">
    <cellStyle name="Comma" xfId="1" builtinId="3"/>
    <cellStyle name="Currency" xfId="3" builtinId="4"/>
    <cellStyle name="Normal" xfId="0" builtinId="0"/>
    <cellStyle name="Percent" xfId="2" builtinId="5"/>
  </cellStyles>
  <dxfs count="13">
    <dxf>
      <font>
        <color rgb="FF9C0006"/>
      </font>
    </dxf>
    <dxf>
      <font>
        <color rgb="FF00B050"/>
      </font>
    </dxf>
    <dxf>
      <font>
        <color rgb="FF9C0006"/>
      </font>
    </dxf>
    <dxf>
      <font>
        <color rgb="FF00B050"/>
      </font>
    </dxf>
    <dxf>
      <font>
        <color rgb="FF9C0006"/>
      </font>
      <fill>
        <patternFill>
          <bgColor rgb="FFFFC7CE"/>
        </patternFill>
      </fill>
    </dxf>
    <dxf>
      <font>
        <color rgb="FF9C0006"/>
      </font>
      <fill>
        <patternFill>
          <bgColor rgb="FFFFC7CE"/>
        </patternFill>
      </fill>
    </dxf>
    <dxf>
      <font>
        <color rgb="FF9C0006"/>
      </font>
    </dxf>
    <dxf>
      <font>
        <color rgb="FF00B050"/>
      </font>
    </dxf>
    <dxf>
      <font>
        <color theme="4" tint="0.79998168889431442"/>
      </font>
    </dxf>
    <dxf>
      <font>
        <color theme="0" tint="-4.9989318521683403E-2"/>
      </font>
    </dxf>
    <dxf>
      <font>
        <color theme="0" tint="-4.9989318521683403E-2"/>
      </font>
    </dxf>
    <dxf>
      <font>
        <color rgb="FF9C0006"/>
      </font>
    </dxf>
    <dxf>
      <font>
        <color rgb="FF00B050"/>
      </font>
    </dxf>
  </dxfs>
  <tableStyles count="0" defaultTableStyle="TableStyleMedium2" defaultPivotStyle="PivotStyleLight16"/>
  <colors>
    <mruColors>
      <color rgb="FF7030A0"/>
      <color rgb="FF002F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609598</xdr:colOff>
      <xdr:row>5</xdr:row>
      <xdr:rowOff>0</xdr:rowOff>
    </xdr:from>
    <xdr:to>
      <xdr:col>6</xdr:col>
      <xdr:colOff>133349</xdr:colOff>
      <xdr:row>9</xdr:row>
      <xdr:rowOff>73307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219198" y="952500"/>
          <a:ext cx="2571751" cy="835307"/>
        </a:xfrm>
        <a:prstGeom prst="rect">
          <a:avLst/>
        </a:prstGeom>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94384</xdr:colOff>
      <xdr:row>1</xdr:row>
      <xdr:rowOff>102907</xdr:rowOff>
    </xdr:from>
    <xdr:to>
      <xdr:col>5</xdr:col>
      <xdr:colOff>933450</xdr:colOff>
      <xdr:row>2</xdr:row>
      <xdr:rowOff>123824</xdr:rowOff>
    </xdr:to>
    <xdr:sp macro="" textlink="">
      <xdr:nvSpPr>
        <xdr:cNvPr id="2" name="Rectangle 1"/>
        <xdr:cNvSpPr/>
      </xdr:nvSpPr>
      <xdr:spPr>
        <a:xfrm>
          <a:off x="227734" y="321982"/>
          <a:ext cx="2220191" cy="249517"/>
        </a:xfrm>
        <a:prstGeom prst="rect">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rot="0" spcFirstLastPara="0" vert="horz" wrap="square" lIns="72000" tIns="45720" rIns="7200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N" sz="1050" b="1">
              <a:solidFill>
                <a:schemeClr val="tx1"/>
              </a:solidFill>
              <a:latin typeface="Gill Sans MT" panose="020B0502020104020203" pitchFamily="34" charset="0"/>
            </a:rPr>
            <a:t>Enterprise design choices</a:t>
          </a:r>
        </a:p>
      </xdr:txBody>
    </xdr:sp>
    <xdr:clientData/>
  </xdr:twoCellAnchor>
  <xdr:twoCellAnchor>
    <xdr:from>
      <xdr:col>14</xdr:col>
      <xdr:colOff>8659</xdr:colOff>
      <xdr:row>1</xdr:row>
      <xdr:rowOff>102907</xdr:rowOff>
    </xdr:from>
    <xdr:to>
      <xdr:col>16</xdr:col>
      <xdr:colOff>677140</xdr:colOff>
      <xdr:row>2</xdr:row>
      <xdr:rowOff>123824</xdr:rowOff>
    </xdr:to>
    <xdr:sp macro="" textlink="">
      <xdr:nvSpPr>
        <xdr:cNvPr id="3" name="Rectangle 2"/>
        <xdr:cNvSpPr/>
      </xdr:nvSpPr>
      <xdr:spPr>
        <a:xfrm>
          <a:off x="6247534" y="321982"/>
          <a:ext cx="1992456" cy="249517"/>
        </a:xfrm>
        <a:prstGeom prst="rect">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rot="0" spcFirstLastPara="0" vert="horz" wrap="square" lIns="72000" tIns="45720" rIns="7200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IN" sz="1050" b="1">
              <a:solidFill>
                <a:schemeClr val="tx1"/>
              </a:solidFill>
              <a:latin typeface="Gill Sans MT" panose="020B0502020104020203" pitchFamily="34" charset="0"/>
            </a:rPr>
            <a:t>Outputs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AO257"/>
  <sheetViews>
    <sheetView showGridLines="0" view="pageBreakPreview" zoomScale="55" zoomScaleNormal="55" zoomScaleSheetLayoutView="55" workbookViewId="0">
      <selection activeCell="E24" sqref="E24"/>
    </sheetView>
  </sheetViews>
  <sheetFormatPr defaultRowHeight="15" x14ac:dyDescent="0.25"/>
  <cols>
    <col min="1" max="41" width="9.140625" style="44"/>
  </cols>
  <sheetData>
    <row r="1" spans="1:41" x14ac:dyDescent="0.25">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25"/>
      <c r="AC1" s="125"/>
      <c r="AD1" s="125"/>
      <c r="AE1" s="125"/>
      <c r="AF1" s="125"/>
      <c r="AG1" s="125"/>
      <c r="AH1" s="125"/>
      <c r="AI1" s="125"/>
      <c r="AJ1" s="125"/>
      <c r="AK1" s="125"/>
      <c r="AL1" s="125"/>
      <c r="AM1" s="125"/>
      <c r="AN1" s="125"/>
      <c r="AO1" s="125"/>
    </row>
    <row r="2" spans="1:41" x14ac:dyDescent="0.2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25"/>
      <c r="AC2" s="125"/>
      <c r="AD2" s="125"/>
      <c r="AE2" s="125"/>
      <c r="AF2" s="125"/>
      <c r="AG2" s="125"/>
      <c r="AH2" s="125"/>
      <c r="AI2" s="125"/>
      <c r="AJ2" s="125"/>
      <c r="AK2" s="125"/>
      <c r="AL2" s="125"/>
      <c r="AM2" s="125"/>
      <c r="AN2" s="125"/>
      <c r="AO2" s="125"/>
    </row>
    <row r="3" spans="1:41" x14ac:dyDescent="0.2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25"/>
      <c r="AC3" s="125"/>
      <c r="AD3" s="125"/>
      <c r="AE3" s="125"/>
      <c r="AF3" s="125"/>
      <c r="AG3" s="125"/>
      <c r="AH3" s="125"/>
      <c r="AI3" s="125"/>
      <c r="AJ3" s="125"/>
      <c r="AK3" s="125"/>
      <c r="AL3" s="125"/>
      <c r="AM3" s="125"/>
      <c r="AN3" s="125"/>
      <c r="AO3" s="125"/>
    </row>
    <row r="4" spans="1:41" x14ac:dyDescent="0.2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25"/>
      <c r="AC4" s="125"/>
      <c r="AD4" s="125"/>
      <c r="AE4" s="125"/>
      <c r="AF4" s="125"/>
      <c r="AG4" s="125"/>
      <c r="AH4" s="125"/>
      <c r="AI4" s="125"/>
      <c r="AJ4" s="125"/>
      <c r="AK4" s="125"/>
      <c r="AL4" s="125"/>
      <c r="AM4" s="125"/>
      <c r="AN4" s="125"/>
      <c r="AO4" s="125"/>
    </row>
    <row r="5" spans="1:41" x14ac:dyDescent="0.25">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25"/>
      <c r="AC5" s="125"/>
      <c r="AD5" s="125"/>
      <c r="AE5" s="125"/>
      <c r="AF5" s="125"/>
      <c r="AG5" s="125"/>
      <c r="AH5" s="125"/>
      <c r="AI5" s="125"/>
      <c r="AJ5" s="125"/>
      <c r="AK5" s="125"/>
      <c r="AL5" s="125"/>
      <c r="AM5" s="125"/>
      <c r="AN5" s="125"/>
      <c r="AO5" s="125"/>
    </row>
    <row r="6" spans="1:41" x14ac:dyDescent="0.25">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25"/>
      <c r="AC6" s="125"/>
      <c r="AD6" s="125"/>
      <c r="AE6" s="125"/>
      <c r="AF6" s="125"/>
      <c r="AG6" s="125"/>
      <c r="AH6" s="125"/>
      <c r="AI6" s="125"/>
      <c r="AJ6" s="125"/>
      <c r="AK6" s="125"/>
      <c r="AL6" s="125"/>
      <c r="AM6" s="125"/>
      <c r="AN6" s="125"/>
      <c r="AO6" s="125"/>
    </row>
    <row r="7" spans="1:41" x14ac:dyDescent="0.25">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25"/>
      <c r="AC7" s="125"/>
      <c r="AD7" s="125"/>
      <c r="AE7" s="125"/>
      <c r="AF7" s="125"/>
      <c r="AG7" s="125"/>
      <c r="AH7" s="125"/>
      <c r="AI7" s="125"/>
      <c r="AJ7" s="125"/>
      <c r="AK7" s="125"/>
      <c r="AL7" s="125"/>
      <c r="AM7" s="125"/>
      <c r="AN7" s="125"/>
      <c r="AO7" s="125"/>
    </row>
    <row r="8" spans="1:41" x14ac:dyDescent="0.25">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25"/>
      <c r="AC8" s="125"/>
      <c r="AD8" s="125"/>
      <c r="AE8" s="125"/>
      <c r="AF8" s="125"/>
      <c r="AG8" s="125"/>
      <c r="AH8" s="125"/>
      <c r="AI8" s="125"/>
      <c r="AJ8" s="125"/>
      <c r="AK8" s="125"/>
      <c r="AL8" s="125"/>
      <c r="AM8" s="125"/>
      <c r="AN8" s="125"/>
      <c r="AO8" s="125"/>
    </row>
    <row r="9" spans="1:41" x14ac:dyDescent="0.25">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25"/>
      <c r="AC9" s="125"/>
      <c r="AD9" s="125"/>
      <c r="AE9" s="125"/>
      <c r="AF9" s="125"/>
      <c r="AG9" s="125"/>
      <c r="AH9" s="125"/>
      <c r="AI9" s="125"/>
      <c r="AJ9" s="125"/>
      <c r="AK9" s="125"/>
      <c r="AL9" s="125"/>
      <c r="AM9" s="125"/>
      <c r="AN9" s="125"/>
      <c r="AO9" s="125"/>
    </row>
    <row r="10" spans="1:41" x14ac:dyDescent="0.25">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25"/>
      <c r="AC10" s="125"/>
      <c r="AD10" s="125"/>
      <c r="AE10" s="125"/>
      <c r="AF10" s="125"/>
      <c r="AG10" s="125"/>
      <c r="AH10" s="125"/>
      <c r="AI10" s="125"/>
      <c r="AJ10" s="125"/>
      <c r="AK10" s="125"/>
      <c r="AL10" s="125"/>
      <c r="AM10" s="125"/>
      <c r="AN10" s="125"/>
      <c r="AO10" s="125"/>
    </row>
    <row r="11" spans="1:41" x14ac:dyDescent="0.25">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25"/>
      <c r="AC11" s="125"/>
      <c r="AD11" s="125"/>
      <c r="AE11" s="125"/>
      <c r="AF11" s="125"/>
      <c r="AG11" s="125"/>
      <c r="AH11" s="125"/>
      <c r="AI11" s="125"/>
      <c r="AJ11" s="125"/>
      <c r="AK11" s="125"/>
      <c r="AL11" s="125"/>
      <c r="AM11" s="125"/>
      <c r="AN11" s="125"/>
      <c r="AO11" s="125"/>
    </row>
    <row r="12" spans="1:41" x14ac:dyDescent="0.25">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25"/>
      <c r="AC12" s="125"/>
      <c r="AD12" s="125"/>
      <c r="AE12" s="125"/>
      <c r="AF12" s="125"/>
      <c r="AG12" s="125"/>
      <c r="AH12" s="125"/>
      <c r="AI12" s="125"/>
      <c r="AJ12" s="125"/>
      <c r="AK12" s="125"/>
      <c r="AL12" s="125"/>
      <c r="AM12" s="125"/>
      <c r="AN12" s="125"/>
      <c r="AO12" s="125"/>
    </row>
    <row r="13" spans="1:41" x14ac:dyDescent="0.25">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25"/>
      <c r="AC13" s="125"/>
      <c r="AD13" s="125"/>
      <c r="AE13" s="125"/>
      <c r="AF13" s="125"/>
      <c r="AG13" s="125"/>
      <c r="AH13" s="125"/>
      <c r="AI13" s="125"/>
      <c r="AJ13" s="125"/>
      <c r="AK13" s="125"/>
      <c r="AL13" s="125"/>
      <c r="AM13" s="125"/>
      <c r="AN13" s="125"/>
      <c r="AO13" s="125"/>
    </row>
    <row r="14" spans="1:41" x14ac:dyDescent="0.25">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25"/>
      <c r="AC14" s="125"/>
      <c r="AD14" s="125"/>
      <c r="AE14" s="125"/>
      <c r="AF14" s="125"/>
      <c r="AG14" s="125"/>
      <c r="AH14" s="125"/>
      <c r="AI14" s="125"/>
      <c r="AJ14" s="125"/>
      <c r="AK14" s="125"/>
      <c r="AL14" s="125"/>
      <c r="AM14" s="125"/>
      <c r="AN14" s="125"/>
      <c r="AO14" s="125"/>
    </row>
    <row r="15" spans="1:41" x14ac:dyDescent="0.25">
      <c r="A15" s="106"/>
      <c r="B15" s="106"/>
      <c r="C15" s="106"/>
      <c r="D15" s="106"/>
      <c r="E15" s="106"/>
      <c r="F15" s="106"/>
      <c r="G15" s="106"/>
      <c r="H15" s="106"/>
      <c r="I15" s="106"/>
      <c r="J15" s="106"/>
      <c r="K15" s="106"/>
      <c r="L15" s="106"/>
      <c r="M15" s="106" t="s">
        <v>87</v>
      </c>
      <c r="N15" s="106"/>
      <c r="O15" s="106"/>
      <c r="P15" s="106"/>
      <c r="Q15" s="106"/>
      <c r="R15" s="106"/>
      <c r="S15" s="106"/>
      <c r="T15" s="106"/>
      <c r="U15" s="106"/>
      <c r="V15" s="106"/>
      <c r="W15" s="106"/>
      <c r="X15" s="106"/>
      <c r="Y15" s="106"/>
      <c r="Z15" s="106"/>
      <c r="AA15" s="106"/>
      <c r="AB15" s="125"/>
      <c r="AC15" s="125"/>
      <c r="AD15" s="125"/>
      <c r="AE15" s="125"/>
      <c r="AF15" s="125"/>
      <c r="AG15" s="125"/>
      <c r="AH15" s="125"/>
      <c r="AI15" s="125"/>
      <c r="AJ15" s="125"/>
      <c r="AK15" s="125"/>
      <c r="AL15" s="125"/>
      <c r="AM15" s="125"/>
      <c r="AN15" s="125"/>
      <c r="AO15" s="125"/>
    </row>
    <row r="16" spans="1:41" x14ac:dyDescent="0.25">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25"/>
      <c r="AC16" s="125"/>
      <c r="AD16" s="125"/>
      <c r="AE16" s="125"/>
      <c r="AF16" s="125"/>
      <c r="AG16" s="125"/>
      <c r="AH16" s="125"/>
      <c r="AI16" s="125"/>
      <c r="AJ16" s="125"/>
      <c r="AK16" s="125"/>
      <c r="AL16" s="125"/>
      <c r="AM16" s="125"/>
      <c r="AN16" s="125"/>
      <c r="AO16" s="125"/>
    </row>
    <row r="17" spans="1:41" x14ac:dyDescent="0.25">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25"/>
      <c r="AC17" s="125"/>
      <c r="AD17" s="125"/>
      <c r="AE17" s="125"/>
      <c r="AF17" s="125"/>
      <c r="AG17" s="125"/>
      <c r="AH17" s="125"/>
      <c r="AI17" s="125"/>
      <c r="AJ17" s="125"/>
      <c r="AK17" s="125"/>
      <c r="AL17" s="125"/>
      <c r="AM17" s="125"/>
      <c r="AN17" s="125"/>
      <c r="AO17" s="125"/>
    </row>
    <row r="18" spans="1:41" x14ac:dyDescent="0.25">
      <c r="A18" s="106"/>
      <c r="B18" s="106"/>
      <c r="C18" s="106"/>
      <c r="D18" s="106"/>
      <c r="E18" s="106"/>
      <c r="F18" s="106"/>
      <c r="G18" s="106"/>
      <c r="H18" s="106"/>
      <c r="I18" s="106"/>
      <c r="J18" s="106"/>
      <c r="K18" s="106"/>
      <c r="L18" s="120"/>
      <c r="M18" s="106"/>
      <c r="N18" s="106"/>
      <c r="O18" s="120"/>
      <c r="P18" s="106"/>
      <c r="Q18" s="106"/>
      <c r="R18" s="106"/>
      <c r="S18" s="106"/>
      <c r="T18" s="106"/>
      <c r="U18" s="106"/>
      <c r="V18" s="106"/>
      <c r="W18" s="106"/>
      <c r="X18" s="106"/>
      <c r="Y18" s="106"/>
      <c r="Z18" s="106"/>
      <c r="AA18" s="106"/>
      <c r="AB18" s="125"/>
      <c r="AC18" s="125"/>
      <c r="AD18" s="125"/>
      <c r="AE18" s="125"/>
      <c r="AF18" s="125"/>
      <c r="AG18" s="125"/>
      <c r="AH18" s="125"/>
      <c r="AI18" s="125"/>
      <c r="AJ18" s="125"/>
      <c r="AK18" s="125"/>
      <c r="AL18" s="125"/>
      <c r="AM18" s="125"/>
      <c r="AN18" s="125"/>
      <c r="AO18" s="125"/>
    </row>
    <row r="19" spans="1:41" x14ac:dyDescent="0.25">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25"/>
      <c r="AC19" s="125"/>
      <c r="AD19" s="125"/>
      <c r="AE19" s="125"/>
      <c r="AF19" s="125"/>
      <c r="AG19" s="125"/>
      <c r="AH19" s="125"/>
      <c r="AI19" s="125"/>
      <c r="AJ19" s="125"/>
      <c r="AK19" s="125"/>
      <c r="AL19" s="125"/>
      <c r="AM19" s="125"/>
      <c r="AN19" s="125"/>
      <c r="AO19" s="125"/>
    </row>
    <row r="20" spans="1:41" ht="61.5" x14ac:dyDescent="0.9">
      <c r="A20" s="106"/>
      <c r="B20" s="106"/>
      <c r="C20" s="106"/>
      <c r="D20" s="106"/>
      <c r="E20" s="106"/>
      <c r="F20" s="106"/>
      <c r="G20" s="121" t="s">
        <v>237</v>
      </c>
      <c r="H20" s="106"/>
      <c r="I20" s="106"/>
      <c r="J20" s="106"/>
      <c r="K20" s="106"/>
      <c r="L20" s="106"/>
      <c r="M20" s="106"/>
      <c r="N20" s="106"/>
      <c r="O20" s="106"/>
      <c r="P20" s="106"/>
      <c r="Q20" s="106"/>
      <c r="R20" s="106"/>
      <c r="S20" s="106"/>
      <c r="T20" s="106"/>
      <c r="U20" s="106"/>
      <c r="V20" s="106"/>
      <c r="W20" s="106"/>
      <c r="X20" s="106"/>
      <c r="Y20" s="106"/>
      <c r="Z20" s="106"/>
      <c r="AA20" s="106"/>
      <c r="AB20" s="125"/>
      <c r="AC20" s="125"/>
      <c r="AD20" s="125"/>
      <c r="AE20" s="125"/>
      <c r="AF20" s="125"/>
      <c r="AG20" s="125"/>
      <c r="AH20" s="125"/>
      <c r="AI20" s="125"/>
      <c r="AJ20" s="125"/>
      <c r="AK20" s="125"/>
      <c r="AL20" s="125"/>
      <c r="AM20" s="125"/>
      <c r="AN20" s="125"/>
      <c r="AO20" s="125"/>
    </row>
    <row r="21" spans="1:41" ht="16.5" customHeight="1" x14ac:dyDescent="0.25">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25"/>
      <c r="AC21" s="125"/>
      <c r="AD21" s="125"/>
      <c r="AE21" s="125"/>
      <c r="AF21" s="125"/>
      <c r="AG21" s="125"/>
      <c r="AH21" s="125"/>
      <c r="AI21" s="125"/>
      <c r="AJ21" s="125"/>
      <c r="AK21" s="125"/>
      <c r="AL21" s="125"/>
      <c r="AM21" s="125"/>
      <c r="AN21" s="125"/>
      <c r="AO21" s="125"/>
    </row>
    <row r="22" spans="1:41" ht="56.25" customHeight="1" x14ac:dyDescent="0.55000000000000004">
      <c r="A22" s="106"/>
      <c r="B22" s="106"/>
      <c r="C22" s="106"/>
      <c r="D22" s="106"/>
      <c r="E22" s="106"/>
      <c r="F22" s="106"/>
      <c r="G22" s="289"/>
      <c r="H22" s="289" t="s">
        <v>238</v>
      </c>
      <c r="I22" s="289"/>
      <c r="J22" s="106"/>
      <c r="K22" s="106"/>
      <c r="L22" s="106"/>
      <c r="M22" s="106"/>
      <c r="N22" s="106"/>
      <c r="O22" s="106"/>
      <c r="P22" s="106"/>
      <c r="Q22" s="106"/>
      <c r="R22" s="106"/>
      <c r="S22" s="106"/>
      <c r="T22" s="106"/>
      <c r="U22" s="106"/>
      <c r="V22" s="106"/>
      <c r="W22" s="106"/>
      <c r="X22" s="106"/>
      <c r="Y22" s="106"/>
      <c r="Z22" s="106"/>
      <c r="AA22" s="106"/>
      <c r="AB22" s="125"/>
      <c r="AC22" s="125"/>
      <c r="AD22" s="125"/>
      <c r="AE22" s="125"/>
      <c r="AF22" s="125"/>
      <c r="AG22" s="125"/>
      <c r="AH22" s="125"/>
      <c r="AI22" s="125"/>
      <c r="AJ22" s="125"/>
      <c r="AK22" s="125"/>
      <c r="AL22" s="125"/>
      <c r="AM22" s="125"/>
      <c r="AN22" s="125"/>
      <c r="AO22" s="125"/>
    </row>
    <row r="23" spans="1:41" x14ac:dyDescent="0.25">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25"/>
      <c r="AC23" s="125"/>
      <c r="AD23" s="125"/>
      <c r="AE23" s="125"/>
      <c r="AF23" s="125"/>
      <c r="AG23" s="125"/>
      <c r="AH23" s="125"/>
      <c r="AI23" s="125"/>
      <c r="AJ23" s="125"/>
      <c r="AK23" s="125"/>
      <c r="AL23" s="125"/>
      <c r="AM23" s="125"/>
      <c r="AN23" s="125"/>
      <c r="AO23" s="125"/>
    </row>
    <row r="24" spans="1:41" x14ac:dyDescent="0.25">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25"/>
      <c r="AC24" s="125"/>
      <c r="AD24" s="125"/>
      <c r="AE24" s="125"/>
      <c r="AF24" s="125"/>
      <c r="AG24" s="125"/>
      <c r="AH24" s="125"/>
      <c r="AI24" s="125"/>
      <c r="AJ24" s="125"/>
      <c r="AK24" s="125"/>
      <c r="AL24" s="125"/>
      <c r="AM24" s="125"/>
      <c r="AN24" s="125"/>
      <c r="AO24" s="125"/>
    </row>
    <row r="25" spans="1:41" x14ac:dyDescent="0.25">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25"/>
      <c r="AC25" s="125"/>
      <c r="AD25" s="125"/>
      <c r="AE25" s="125"/>
      <c r="AF25" s="125"/>
      <c r="AG25" s="125"/>
      <c r="AH25" s="125"/>
      <c r="AI25" s="125"/>
      <c r="AJ25" s="125"/>
      <c r="AK25" s="125"/>
      <c r="AL25" s="125"/>
      <c r="AM25" s="125"/>
      <c r="AN25" s="125"/>
      <c r="AO25" s="125"/>
    </row>
    <row r="26" spans="1:41" x14ac:dyDescent="0.2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25"/>
      <c r="AC26" s="125"/>
      <c r="AD26" s="125"/>
      <c r="AE26" s="125"/>
      <c r="AF26" s="125"/>
      <c r="AG26" s="125"/>
      <c r="AH26" s="125"/>
      <c r="AI26" s="125"/>
      <c r="AJ26" s="125"/>
      <c r="AK26" s="125"/>
      <c r="AL26" s="125"/>
      <c r="AM26" s="125"/>
      <c r="AN26" s="125"/>
      <c r="AO26" s="125"/>
    </row>
    <row r="27" spans="1:41" x14ac:dyDescent="0.25">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25"/>
      <c r="AC27" s="125"/>
      <c r="AD27" s="125"/>
      <c r="AE27" s="125"/>
      <c r="AF27" s="125"/>
      <c r="AG27" s="125"/>
      <c r="AH27" s="125"/>
      <c r="AI27" s="125"/>
      <c r="AJ27" s="125"/>
      <c r="AK27" s="125"/>
      <c r="AL27" s="125"/>
      <c r="AM27" s="125"/>
      <c r="AN27" s="125"/>
      <c r="AO27" s="125"/>
    </row>
    <row r="28" spans="1:41" x14ac:dyDescent="0.25">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25"/>
      <c r="AC28" s="125"/>
      <c r="AD28" s="125"/>
      <c r="AE28" s="125"/>
      <c r="AF28" s="125"/>
      <c r="AG28" s="125"/>
      <c r="AH28" s="125"/>
      <c r="AI28" s="125"/>
      <c r="AJ28" s="125"/>
      <c r="AK28" s="125"/>
      <c r="AL28" s="125"/>
      <c r="AM28" s="125"/>
      <c r="AN28" s="125"/>
      <c r="AO28" s="125"/>
    </row>
    <row r="29" spans="1:41" x14ac:dyDescent="0.25">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25"/>
      <c r="AC29" s="125"/>
      <c r="AD29" s="125"/>
      <c r="AE29" s="125"/>
      <c r="AF29" s="125"/>
      <c r="AG29" s="125"/>
      <c r="AH29" s="125"/>
      <c r="AI29" s="125"/>
      <c r="AJ29" s="125"/>
      <c r="AK29" s="125"/>
      <c r="AL29" s="125"/>
      <c r="AM29" s="125"/>
      <c r="AN29" s="125"/>
      <c r="AO29" s="125"/>
    </row>
    <row r="30" spans="1:41" x14ac:dyDescent="0.2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25"/>
      <c r="AC30" s="125"/>
      <c r="AD30" s="125"/>
      <c r="AE30" s="125"/>
      <c r="AF30" s="125"/>
      <c r="AG30" s="125"/>
      <c r="AH30" s="125"/>
      <c r="AI30" s="125"/>
      <c r="AJ30" s="125"/>
      <c r="AK30" s="125"/>
      <c r="AL30" s="125"/>
      <c r="AM30" s="125"/>
      <c r="AN30" s="125"/>
      <c r="AO30" s="125"/>
    </row>
    <row r="31" spans="1:41" x14ac:dyDescent="0.2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25"/>
      <c r="AC31" s="125"/>
      <c r="AD31" s="125"/>
      <c r="AE31" s="125"/>
      <c r="AF31" s="125"/>
      <c r="AG31" s="125"/>
      <c r="AH31" s="125"/>
      <c r="AI31" s="125"/>
      <c r="AJ31" s="125"/>
      <c r="AK31" s="125"/>
      <c r="AL31" s="125"/>
      <c r="AM31" s="125"/>
      <c r="AN31" s="125"/>
      <c r="AO31" s="125"/>
    </row>
    <row r="32" spans="1:41" x14ac:dyDescent="0.2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25"/>
      <c r="AC32" s="125"/>
      <c r="AD32" s="125"/>
      <c r="AE32" s="125"/>
      <c r="AF32" s="125"/>
      <c r="AG32" s="125"/>
      <c r="AH32" s="125"/>
      <c r="AI32" s="125"/>
      <c r="AJ32" s="125"/>
      <c r="AK32" s="125"/>
      <c r="AL32" s="125"/>
      <c r="AM32" s="125"/>
      <c r="AN32" s="125"/>
      <c r="AO32" s="125"/>
    </row>
    <row r="33" spans="1:41" x14ac:dyDescent="0.25">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25"/>
      <c r="AC33" s="125"/>
      <c r="AD33" s="125"/>
      <c r="AE33" s="125"/>
      <c r="AF33" s="125"/>
      <c r="AG33" s="125"/>
      <c r="AH33" s="125"/>
      <c r="AI33" s="125"/>
      <c r="AJ33" s="125"/>
      <c r="AK33" s="125"/>
      <c r="AL33" s="125"/>
      <c r="AM33" s="125"/>
      <c r="AN33" s="125"/>
      <c r="AO33" s="125"/>
    </row>
    <row r="34" spans="1:41" x14ac:dyDescent="0.2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25"/>
      <c r="AC34" s="125"/>
      <c r="AD34" s="125"/>
      <c r="AE34" s="125"/>
      <c r="AF34" s="125"/>
      <c r="AG34" s="125"/>
      <c r="AH34" s="125"/>
      <c r="AI34" s="125"/>
      <c r="AJ34" s="125"/>
      <c r="AK34" s="125"/>
      <c r="AL34" s="125"/>
      <c r="AM34" s="125"/>
      <c r="AN34" s="125"/>
      <c r="AO34" s="125"/>
    </row>
    <row r="35" spans="1:41" x14ac:dyDescent="0.25">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25"/>
      <c r="AC35" s="125"/>
      <c r="AD35" s="125"/>
      <c r="AE35" s="125"/>
      <c r="AF35" s="125"/>
      <c r="AG35" s="125"/>
      <c r="AH35" s="125"/>
      <c r="AI35" s="125"/>
      <c r="AJ35" s="125"/>
      <c r="AK35" s="125"/>
      <c r="AL35" s="125"/>
      <c r="AM35" s="125"/>
      <c r="AN35" s="125"/>
      <c r="AO35" s="125"/>
    </row>
    <row r="36" spans="1:41" x14ac:dyDescent="0.25">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25"/>
      <c r="AC36" s="125"/>
      <c r="AD36" s="125"/>
      <c r="AE36" s="125"/>
      <c r="AF36" s="125"/>
      <c r="AG36" s="125"/>
      <c r="AH36" s="125"/>
      <c r="AI36" s="125"/>
      <c r="AJ36" s="125"/>
      <c r="AK36" s="125"/>
      <c r="AL36" s="125"/>
      <c r="AM36" s="125"/>
      <c r="AN36" s="125"/>
      <c r="AO36" s="125"/>
    </row>
    <row r="37" spans="1:41" x14ac:dyDescent="0.25">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25"/>
      <c r="AC37" s="125"/>
      <c r="AD37" s="125"/>
      <c r="AE37" s="125"/>
      <c r="AF37" s="125"/>
      <c r="AG37" s="125"/>
      <c r="AH37" s="125"/>
      <c r="AI37" s="125"/>
      <c r="AJ37" s="125"/>
      <c r="AK37" s="125"/>
      <c r="AL37" s="125"/>
      <c r="AM37" s="125"/>
      <c r="AN37" s="125"/>
      <c r="AO37" s="125"/>
    </row>
    <row r="38" spans="1:41" x14ac:dyDescent="0.2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25"/>
      <c r="AC38" s="125"/>
      <c r="AD38" s="125"/>
      <c r="AE38" s="125"/>
      <c r="AF38" s="125"/>
      <c r="AG38" s="125"/>
      <c r="AH38" s="125"/>
      <c r="AI38" s="125"/>
      <c r="AJ38" s="125"/>
      <c r="AK38" s="125"/>
      <c r="AL38" s="125"/>
      <c r="AM38" s="125"/>
      <c r="AN38" s="125"/>
      <c r="AO38" s="125"/>
    </row>
    <row r="39" spans="1:41" x14ac:dyDescent="0.2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25"/>
      <c r="AC39" s="125"/>
      <c r="AD39" s="125"/>
      <c r="AE39" s="125"/>
      <c r="AF39" s="125"/>
      <c r="AG39" s="125"/>
      <c r="AH39" s="125"/>
      <c r="AI39" s="125"/>
      <c r="AJ39" s="125"/>
      <c r="AK39" s="125"/>
      <c r="AL39" s="125"/>
      <c r="AM39" s="125"/>
      <c r="AN39" s="125"/>
      <c r="AO39" s="125"/>
    </row>
    <row r="40" spans="1:41" x14ac:dyDescent="0.2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25"/>
      <c r="AC40" s="125"/>
      <c r="AD40" s="125"/>
      <c r="AE40" s="125"/>
      <c r="AF40" s="125"/>
      <c r="AG40" s="125"/>
      <c r="AH40" s="125"/>
      <c r="AI40" s="125"/>
      <c r="AJ40" s="125"/>
      <c r="AK40" s="125"/>
      <c r="AL40" s="125"/>
      <c r="AM40" s="125"/>
      <c r="AN40" s="125"/>
      <c r="AO40" s="125"/>
    </row>
    <row r="41" spans="1:41" x14ac:dyDescent="0.25">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25"/>
      <c r="AC41" s="125"/>
      <c r="AD41" s="125"/>
      <c r="AE41" s="125"/>
      <c r="AF41" s="125"/>
      <c r="AG41" s="125"/>
      <c r="AH41" s="125"/>
      <c r="AI41" s="125"/>
      <c r="AJ41" s="125"/>
      <c r="AK41" s="125"/>
      <c r="AL41" s="125"/>
      <c r="AM41" s="125"/>
      <c r="AN41" s="125"/>
      <c r="AO41" s="125"/>
    </row>
    <row r="42" spans="1:41" x14ac:dyDescent="0.25">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25"/>
      <c r="AC42" s="125"/>
      <c r="AD42" s="125"/>
      <c r="AE42" s="125"/>
      <c r="AF42" s="125"/>
      <c r="AG42" s="125"/>
      <c r="AH42" s="125"/>
      <c r="AI42" s="125"/>
      <c r="AJ42" s="125"/>
      <c r="AK42" s="125"/>
      <c r="AL42" s="125"/>
      <c r="AM42" s="125"/>
      <c r="AN42" s="125"/>
      <c r="AO42" s="125"/>
    </row>
    <row r="43" spans="1:41" x14ac:dyDescent="0.25">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25"/>
      <c r="AC43" s="125"/>
      <c r="AD43" s="125"/>
      <c r="AE43" s="125"/>
      <c r="AF43" s="125"/>
      <c r="AG43" s="125"/>
      <c r="AH43" s="125"/>
      <c r="AI43" s="125"/>
      <c r="AJ43" s="125"/>
      <c r="AK43" s="125"/>
      <c r="AL43" s="125"/>
      <c r="AM43" s="125"/>
      <c r="AN43" s="125"/>
      <c r="AO43" s="125"/>
    </row>
    <row r="44" spans="1:41" x14ac:dyDescent="0.25">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25"/>
      <c r="AC44" s="125"/>
      <c r="AD44" s="125"/>
      <c r="AE44" s="125"/>
      <c r="AF44" s="125"/>
      <c r="AG44" s="125"/>
      <c r="AH44" s="125"/>
      <c r="AI44" s="125"/>
      <c r="AJ44" s="125"/>
      <c r="AK44" s="125"/>
      <c r="AL44" s="125"/>
      <c r="AM44" s="125"/>
      <c r="AN44" s="125"/>
      <c r="AO44" s="125"/>
    </row>
    <row r="45" spans="1:41" x14ac:dyDescent="0.2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25"/>
      <c r="AC45" s="125"/>
      <c r="AD45" s="125"/>
      <c r="AE45" s="125"/>
      <c r="AF45" s="125"/>
      <c r="AG45" s="125"/>
      <c r="AH45" s="125"/>
      <c r="AI45" s="125"/>
      <c r="AJ45" s="125"/>
      <c r="AK45" s="125"/>
      <c r="AL45" s="125"/>
      <c r="AM45" s="125"/>
      <c r="AN45" s="125"/>
      <c r="AO45" s="125"/>
    </row>
    <row r="46" spans="1:41" x14ac:dyDescent="0.25">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25"/>
      <c r="AC46" s="125"/>
      <c r="AD46" s="125"/>
      <c r="AE46" s="125"/>
      <c r="AF46" s="125"/>
      <c r="AG46" s="125"/>
      <c r="AH46" s="125"/>
      <c r="AI46" s="125"/>
      <c r="AJ46" s="125"/>
      <c r="AK46" s="125"/>
      <c r="AL46" s="125"/>
      <c r="AM46" s="125"/>
      <c r="AN46" s="125"/>
      <c r="AO46" s="125"/>
    </row>
    <row r="47" spans="1:41" x14ac:dyDescent="0.25">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25"/>
      <c r="AC47" s="125"/>
      <c r="AD47" s="125"/>
      <c r="AE47" s="125"/>
      <c r="AF47" s="125"/>
      <c r="AG47" s="125"/>
      <c r="AH47" s="125"/>
      <c r="AI47" s="125"/>
      <c r="AJ47" s="125"/>
      <c r="AK47" s="125"/>
      <c r="AL47" s="125"/>
      <c r="AM47" s="125"/>
      <c r="AN47" s="125"/>
      <c r="AO47" s="125"/>
    </row>
    <row r="48" spans="1:41" x14ac:dyDescent="0.25">
      <c r="A48" s="125"/>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row>
    <row r="49" spans="1:41" x14ac:dyDescent="0.25">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row>
    <row r="50" spans="1:41" x14ac:dyDescent="0.25">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row>
    <row r="51" spans="1:41" x14ac:dyDescent="0.25">
      <c r="A51" s="12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row>
    <row r="52" spans="1:41" x14ac:dyDescent="0.25">
      <c r="A52" s="12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row>
    <row r="53" spans="1:41" x14ac:dyDescent="0.25">
      <c r="A53" s="12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row>
    <row r="54" spans="1:41" x14ac:dyDescent="0.25">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row>
    <row r="55" spans="1:41" x14ac:dyDescent="0.25">
      <c r="A55" s="125"/>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row>
    <row r="56" spans="1:41" x14ac:dyDescent="0.25">
      <c r="A56" s="1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row>
    <row r="57" spans="1:41" x14ac:dyDescent="0.25">
      <c r="A57" s="12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row>
    <row r="58" spans="1:41" x14ac:dyDescent="0.25">
      <c r="A58" s="12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row>
    <row r="59" spans="1:41" x14ac:dyDescent="0.25">
      <c r="A59" s="125"/>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row>
    <row r="60" spans="1:41" x14ac:dyDescent="0.25">
      <c r="A60" s="125"/>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row>
    <row r="61" spans="1:41" x14ac:dyDescent="0.25">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row>
    <row r="62" spans="1:41" x14ac:dyDescent="0.25">
      <c r="A62" s="125"/>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row>
    <row r="63" spans="1:41" x14ac:dyDescent="0.25">
      <c r="A63" s="12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row>
    <row r="64" spans="1:41" x14ac:dyDescent="0.25">
      <c r="A64" s="12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row>
    <row r="65" spans="1:41" x14ac:dyDescent="0.25">
      <c r="A65" s="125"/>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row>
    <row r="66" spans="1:41" x14ac:dyDescent="0.25">
      <c r="A66" s="125"/>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row>
    <row r="67" spans="1:41" x14ac:dyDescent="0.25">
      <c r="A67" s="125"/>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row>
    <row r="68" spans="1:41" x14ac:dyDescent="0.25">
      <c r="A68" s="125"/>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row>
    <row r="69" spans="1:41" x14ac:dyDescent="0.25">
      <c r="A69" s="125"/>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row>
    <row r="70" spans="1:41" x14ac:dyDescent="0.25">
      <c r="A70" s="125"/>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row>
    <row r="71" spans="1:41" x14ac:dyDescent="0.25">
      <c r="A71" s="125"/>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row>
    <row r="72" spans="1:41" x14ac:dyDescent="0.25">
      <c r="A72" s="125"/>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row>
    <row r="73" spans="1:41" x14ac:dyDescent="0.25">
      <c r="A73" s="125"/>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row>
    <row r="74" spans="1:41" x14ac:dyDescent="0.25">
      <c r="A74" s="125"/>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row>
    <row r="75" spans="1:41" x14ac:dyDescent="0.25">
      <c r="A75" s="125"/>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row>
    <row r="76" spans="1:41" x14ac:dyDescent="0.25">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row>
    <row r="77" spans="1:41" x14ac:dyDescent="0.25">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row>
    <row r="78" spans="1:41" x14ac:dyDescent="0.25">
      <c r="A78" s="125"/>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row>
    <row r="79" spans="1:41" x14ac:dyDescent="0.25">
      <c r="A79" s="125"/>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row>
    <row r="80" spans="1:41" x14ac:dyDescent="0.25">
      <c r="A80" s="125"/>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row>
    <row r="81" spans="1:41" x14ac:dyDescent="0.25">
      <c r="A81" s="125"/>
      <c r="B81" s="125"/>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row>
    <row r="82" spans="1:41" x14ac:dyDescent="0.25">
      <c r="A82" s="125"/>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row>
    <row r="83" spans="1:41" x14ac:dyDescent="0.25">
      <c r="A83" s="125"/>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row>
    <row r="84" spans="1:41" x14ac:dyDescent="0.25">
      <c r="A84" s="125"/>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row>
    <row r="85" spans="1:41" x14ac:dyDescent="0.25">
      <c r="A85" s="125"/>
      <c r="B85" s="125"/>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row>
    <row r="86" spans="1:41" x14ac:dyDescent="0.25">
      <c r="A86" s="125"/>
      <c r="B86" s="125"/>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row>
    <row r="87" spans="1:41" x14ac:dyDescent="0.25">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row>
    <row r="88" spans="1:41" x14ac:dyDescent="0.25">
      <c r="A88" s="125"/>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row>
    <row r="89" spans="1:41" x14ac:dyDescent="0.25">
      <c r="A89" s="12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row>
    <row r="90" spans="1:41" x14ac:dyDescent="0.25">
      <c r="A90" s="125"/>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row>
    <row r="91" spans="1:41" x14ac:dyDescent="0.25">
      <c r="A91" s="125"/>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row>
    <row r="92" spans="1:41" x14ac:dyDescent="0.25">
      <c r="A92" s="125"/>
      <c r="B92" s="125"/>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row>
    <row r="93" spans="1:41" x14ac:dyDescent="0.25">
      <c r="A93" s="125"/>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row>
    <row r="94" spans="1:41" x14ac:dyDescent="0.25">
      <c r="A94" s="125"/>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row>
    <row r="95" spans="1:41" x14ac:dyDescent="0.25">
      <c r="A95" s="125"/>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row>
    <row r="96" spans="1:41" x14ac:dyDescent="0.25">
      <c r="A96" s="12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row>
    <row r="97" spans="1:41" x14ac:dyDescent="0.25">
      <c r="A97" s="125"/>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row>
    <row r="98" spans="1:41" x14ac:dyDescent="0.25">
      <c r="A98" s="125"/>
      <c r="B98" s="125"/>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row>
    <row r="99" spans="1:41" x14ac:dyDescent="0.25">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row>
    <row r="100" spans="1:41" x14ac:dyDescent="0.25">
      <c r="A100" s="125"/>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row>
    <row r="101" spans="1:41" x14ac:dyDescent="0.25">
      <c r="A101" s="12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row>
    <row r="102" spans="1:41" x14ac:dyDescent="0.25">
      <c r="A102" s="125"/>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row>
    <row r="103" spans="1:41" x14ac:dyDescent="0.25">
      <c r="A103" s="12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row>
    <row r="104" spans="1:41" x14ac:dyDescent="0.25">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row>
    <row r="105" spans="1:41" x14ac:dyDescent="0.25">
      <c r="A105" s="12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row>
    <row r="106" spans="1:41" x14ac:dyDescent="0.25">
      <c r="A106" s="12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row>
    <row r="107" spans="1:41" x14ac:dyDescent="0.25">
      <c r="A107" s="125"/>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row>
    <row r="108" spans="1:41" x14ac:dyDescent="0.25">
      <c r="A108" s="125"/>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row>
    <row r="109" spans="1:41" x14ac:dyDescent="0.25">
      <c r="A109" s="12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row>
    <row r="110" spans="1:41" x14ac:dyDescent="0.25">
      <c r="A110" s="125"/>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row>
    <row r="111" spans="1:41" x14ac:dyDescent="0.25">
      <c r="A111" s="125"/>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row>
    <row r="112" spans="1:41" x14ac:dyDescent="0.25">
      <c r="A112" s="125"/>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row>
    <row r="113" spans="1:41" x14ac:dyDescent="0.25">
      <c r="A113" s="12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row>
    <row r="114" spans="1:41" x14ac:dyDescent="0.25">
      <c r="A114" s="125"/>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row>
    <row r="115" spans="1:41" x14ac:dyDescent="0.25">
      <c r="A115" s="125"/>
      <c r="B115" s="125"/>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row>
    <row r="116" spans="1:41" x14ac:dyDescent="0.25">
      <c r="A116" s="125"/>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row>
    <row r="117" spans="1:41" x14ac:dyDescent="0.25">
      <c r="A117" s="125"/>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row>
    <row r="118" spans="1:41" x14ac:dyDescent="0.25">
      <c r="A118" s="125"/>
      <c r="B118" s="125"/>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row>
    <row r="119" spans="1:41" x14ac:dyDescent="0.25">
      <c r="A119" s="125"/>
      <c r="B119" s="125"/>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row>
    <row r="120" spans="1:41" x14ac:dyDescent="0.25">
      <c r="A120" s="125"/>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row>
    <row r="121" spans="1:41" x14ac:dyDescent="0.25">
      <c r="A121" s="125"/>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row>
    <row r="122" spans="1:41" x14ac:dyDescent="0.25">
      <c r="A122" s="125"/>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row>
    <row r="123" spans="1:41" x14ac:dyDescent="0.25">
      <c r="A123" s="125"/>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row>
    <row r="124" spans="1:41" x14ac:dyDescent="0.25">
      <c r="A124" s="125"/>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row>
    <row r="125" spans="1:41" x14ac:dyDescent="0.25">
      <c r="A125" s="125"/>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row>
    <row r="126" spans="1:41" x14ac:dyDescent="0.25">
      <c r="A126" s="125"/>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row>
    <row r="127" spans="1:41" x14ac:dyDescent="0.25">
      <c r="A127" s="125"/>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row>
    <row r="128" spans="1:41" x14ac:dyDescent="0.25">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row>
    <row r="129" spans="1:41" x14ac:dyDescent="0.25">
      <c r="A129" s="125"/>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row>
    <row r="130" spans="1:41" x14ac:dyDescent="0.25">
      <c r="A130" s="125"/>
      <c r="B130" s="125"/>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row>
    <row r="131" spans="1:41" x14ac:dyDescent="0.25">
      <c r="A131" s="125"/>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row>
    <row r="132" spans="1:41" x14ac:dyDescent="0.25">
      <c r="A132" s="125"/>
      <c r="B132" s="125"/>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row>
    <row r="133" spans="1:41" x14ac:dyDescent="0.25">
      <c r="A133" s="125"/>
      <c r="B133" s="125"/>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row>
    <row r="134" spans="1:41" x14ac:dyDescent="0.25">
      <c r="A134" s="125"/>
      <c r="B134" s="125"/>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row>
    <row r="135" spans="1:41" x14ac:dyDescent="0.25">
      <c r="A135" s="125"/>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row>
    <row r="136" spans="1:41" x14ac:dyDescent="0.25">
      <c r="A136" s="125"/>
      <c r="B136" s="125"/>
      <c r="C136" s="125"/>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row>
    <row r="137" spans="1:41" x14ac:dyDescent="0.25">
      <c r="A137" s="125"/>
      <c r="B137" s="125"/>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row>
    <row r="138" spans="1:41" x14ac:dyDescent="0.25">
      <c r="A138" s="125"/>
      <c r="B138" s="125"/>
      <c r="C138" s="125"/>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row>
    <row r="139" spans="1:41" x14ac:dyDescent="0.25">
      <c r="A139" s="125"/>
      <c r="B139" s="125"/>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row>
    <row r="140" spans="1:41" x14ac:dyDescent="0.25">
      <c r="A140" s="125"/>
      <c r="B140" s="125"/>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row>
    <row r="141" spans="1:41" x14ac:dyDescent="0.25">
      <c r="A141" s="125"/>
      <c r="B141" s="125"/>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row>
    <row r="142" spans="1:41" x14ac:dyDescent="0.25">
      <c r="A142" s="125"/>
      <c r="B142" s="125"/>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row>
    <row r="143" spans="1:41" x14ac:dyDescent="0.25">
      <c r="A143" s="125"/>
      <c r="B143" s="125"/>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row>
    <row r="144" spans="1:41" x14ac:dyDescent="0.25">
      <c r="A144" s="125"/>
      <c r="B144" s="125"/>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row>
    <row r="145" spans="1:41" x14ac:dyDescent="0.25">
      <c r="A145" s="125"/>
      <c r="B145" s="125"/>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row>
    <row r="146" spans="1:41" x14ac:dyDescent="0.25">
      <c r="A146" s="125"/>
      <c r="B146" s="125"/>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row>
    <row r="147" spans="1:41" x14ac:dyDescent="0.25">
      <c r="A147" s="125"/>
      <c r="B147" s="125"/>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row>
    <row r="148" spans="1:41" x14ac:dyDescent="0.25">
      <c r="A148" s="125"/>
      <c r="B148" s="125"/>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5"/>
      <c r="AJ148" s="125"/>
      <c r="AK148" s="125"/>
      <c r="AL148" s="125"/>
      <c r="AM148" s="125"/>
      <c r="AN148" s="125"/>
      <c r="AO148" s="125"/>
    </row>
    <row r="149" spans="1:41" x14ac:dyDescent="0.25">
      <c r="A149" s="125"/>
      <c r="B149" s="125"/>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row>
    <row r="150" spans="1:41" x14ac:dyDescent="0.25">
      <c r="A150" s="125"/>
      <c r="B150" s="125"/>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5"/>
      <c r="AI150" s="125"/>
      <c r="AJ150" s="125"/>
      <c r="AK150" s="125"/>
      <c r="AL150" s="125"/>
      <c r="AM150" s="125"/>
      <c r="AN150" s="125"/>
      <c r="AO150" s="125"/>
    </row>
    <row r="151" spans="1:41" x14ac:dyDescent="0.25">
      <c r="A151" s="125"/>
      <c r="B151" s="125"/>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row>
    <row r="152" spans="1:41" x14ac:dyDescent="0.25">
      <c r="A152" s="125"/>
      <c r="B152" s="125"/>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125"/>
    </row>
    <row r="153" spans="1:41" x14ac:dyDescent="0.25">
      <c r="A153" s="125"/>
      <c r="B153" s="125"/>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c r="AN153" s="125"/>
      <c r="AO153" s="125"/>
    </row>
    <row r="154" spans="1:41" x14ac:dyDescent="0.25">
      <c r="A154" s="125"/>
      <c r="B154" s="125"/>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row>
    <row r="155" spans="1:41" x14ac:dyDescent="0.25">
      <c r="A155" s="125"/>
      <c r="B155" s="125"/>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c r="AM155" s="125"/>
      <c r="AN155" s="125"/>
      <c r="AO155" s="125"/>
    </row>
    <row r="156" spans="1:41" x14ac:dyDescent="0.25">
      <c r="A156" s="125"/>
      <c r="B156" s="125"/>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c r="AM156" s="125"/>
      <c r="AN156" s="125"/>
      <c r="AO156" s="125"/>
    </row>
    <row r="157" spans="1:41" x14ac:dyDescent="0.25">
      <c r="A157" s="125"/>
      <c r="B157" s="125"/>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5"/>
      <c r="AI157" s="125"/>
      <c r="AJ157" s="125"/>
      <c r="AK157" s="125"/>
      <c r="AL157" s="125"/>
      <c r="AM157" s="125"/>
      <c r="AN157" s="125"/>
      <c r="AO157" s="125"/>
    </row>
    <row r="158" spans="1:41" x14ac:dyDescent="0.25">
      <c r="A158" s="125"/>
      <c r="B158" s="125"/>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N158" s="125"/>
      <c r="AO158" s="125"/>
    </row>
    <row r="159" spans="1:41" x14ac:dyDescent="0.25">
      <c r="A159" s="125"/>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5"/>
      <c r="AI159" s="125"/>
      <c r="AJ159" s="125"/>
      <c r="AK159" s="125"/>
      <c r="AL159" s="125"/>
      <c r="AM159" s="125"/>
      <c r="AN159" s="125"/>
      <c r="AO159" s="125"/>
    </row>
    <row r="160" spans="1:41" x14ac:dyDescent="0.25">
      <c r="A160" s="125"/>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5"/>
      <c r="AI160" s="125"/>
      <c r="AJ160" s="125"/>
      <c r="AK160" s="125"/>
      <c r="AL160" s="125"/>
      <c r="AM160" s="125"/>
      <c r="AN160" s="125"/>
      <c r="AO160" s="125"/>
    </row>
    <row r="161" spans="1:41" x14ac:dyDescent="0.25">
      <c r="A161" s="125"/>
      <c r="B161" s="125"/>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c r="AD161" s="125"/>
      <c r="AE161" s="125"/>
      <c r="AF161" s="125"/>
      <c r="AG161" s="125"/>
      <c r="AH161" s="125"/>
      <c r="AI161" s="125"/>
      <c r="AJ161" s="125"/>
      <c r="AK161" s="125"/>
      <c r="AL161" s="125"/>
      <c r="AM161" s="125"/>
      <c r="AN161" s="125"/>
      <c r="AO161" s="125"/>
    </row>
    <row r="162" spans="1:41" x14ac:dyDescent="0.25">
      <c r="A162" s="125"/>
      <c r="B162" s="125"/>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5"/>
      <c r="AI162" s="125"/>
      <c r="AJ162" s="125"/>
      <c r="AK162" s="125"/>
      <c r="AL162" s="125"/>
      <c r="AM162" s="125"/>
      <c r="AN162" s="125"/>
      <c r="AO162" s="125"/>
    </row>
    <row r="163" spans="1:41" x14ac:dyDescent="0.25">
      <c r="A163" s="125"/>
      <c r="B163" s="125"/>
      <c r="C163" s="125"/>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c r="AM163" s="125"/>
      <c r="AN163" s="125"/>
      <c r="AO163" s="125"/>
    </row>
    <row r="164" spans="1:41" x14ac:dyDescent="0.25">
      <c r="A164" s="125"/>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c r="AF164" s="125"/>
      <c r="AG164" s="125"/>
      <c r="AH164" s="125"/>
      <c r="AI164" s="125"/>
      <c r="AJ164" s="125"/>
      <c r="AK164" s="125"/>
      <c r="AL164" s="125"/>
      <c r="AM164" s="125"/>
      <c r="AN164" s="125"/>
      <c r="AO164" s="125"/>
    </row>
    <row r="165" spans="1:41" x14ac:dyDescent="0.25">
      <c r="A165" s="125"/>
      <c r="B165" s="125"/>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125"/>
      <c r="AL165" s="125"/>
      <c r="AM165" s="125"/>
      <c r="AN165" s="125"/>
      <c r="AO165" s="125"/>
    </row>
    <row r="166" spans="1:41" x14ac:dyDescent="0.25">
      <c r="A166" s="125"/>
      <c r="B166" s="125"/>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row>
    <row r="167" spans="1:41" x14ac:dyDescent="0.25">
      <c r="A167" s="125"/>
      <c r="B167" s="125"/>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c r="AG167" s="125"/>
      <c r="AH167" s="125"/>
      <c r="AI167" s="125"/>
      <c r="AJ167" s="125"/>
      <c r="AK167" s="125"/>
      <c r="AL167" s="125"/>
      <c r="AM167" s="125"/>
      <c r="AN167" s="125"/>
      <c r="AO167" s="125"/>
    </row>
    <row r="168" spans="1:41" x14ac:dyDescent="0.25">
      <c r="A168" s="125"/>
      <c r="B168" s="125"/>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row>
    <row r="169" spans="1:41" x14ac:dyDescent="0.25">
      <c r="A169" s="125"/>
      <c r="B169" s="125"/>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row>
    <row r="170" spans="1:41" x14ac:dyDescent="0.25">
      <c r="A170" s="125"/>
      <c r="B170" s="125"/>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row>
    <row r="171" spans="1:41" x14ac:dyDescent="0.25">
      <c r="A171" s="125"/>
      <c r="B171" s="125"/>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5"/>
      <c r="AK171" s="125"/>
      <c r="AL171" s="125"/>
      <c r="AM171" s="125"/>
      <c r="AN171" s="125"/>
      <c r="AO171" s="125"/>
    </row>
    <row r="172" spans="1:41" x14ac:dyDescent="0.25">
      <c r="A172" s="125"/>
      <c r="B172" s="125"/>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c r="AM172" s="125"/>
      <c r="AN172" s="125"/>
      <c r="AO172" s="125"/>
    </row>
    <row r="173" spans="1:41" x14ac:dyDescent="0.25">
      <c r="A173" s="125"/>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5"/>
      <c r="AK173" s="125"/>
      <c r="AL173" s="125"/>
      <c r="AM173" s="125"/>
      <c r="AN173" s="125"/>
      <c r="AO173" s="125"/>
    </row>
    <row r="174" spans="1:41" x14ac:dyDescent="0.25">
      <c r="A174" s="125"/>
      <c r="B174" s="125"/>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5"/>
      <c r="AL174" s="125"/>
      <c r="AM174" s="125"/>
      <c r="AN174" s="125"/>
      <c r="AO174" s="125"/>
    </row>
    <row r="175" spans="1:41" x14ac:dyDescent="0.25">
      <c r="A175" s="125"/>
      <c r="B175" s="125"/>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row>
    <row r="176" spans="1:41" x14ac:dyDescent="0.25">
      <c r="A176" s="125"/>
      <c r="B176" s="125"/>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c r="AM176" s="125"/>
      <c r="AN176" s="125"/>
      <c r="AO176" s="125"/>
    </row>
    <row r="177" spans="1:41" x14ac:dyDescent="0.25">
      <c r="A177" s="125"/>
      <c r="B177" s="125"/>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5"/>
      <c r="AK177" s="125"/>
      <c r="AL177" s="125"/>
      <c r="AM177" s="125"/>
      <c r="AN177" s="125"/>
      <c r="AO177" s="125"/>
    </row>
    <row r="178" spans="1:41" x14ac:dyDescent="0.25">
      <c r="A178" s="125"/>
      <c r="B178" s="125"/>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125"/>
      <c r="AL178" s="125"/>
      <c r="AM178" s="125"/>
      <c r="AN178" s="125"/>
      <c r="AO178" s="125"/>
    </row>
    <row r="179" spans="1:41" x14ac:dyDescent="0.25">
      <c r="A179" s="125"/>
      <c r="B179" s="125"/>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c r="AD179" s="125"/>
      <c r="AE179" s="125"/>
      <c r="AF179" s="125"/>
      <c r="AG179" s="125"/>
      <c r="AH179" s="125"/>
      <c r="AI179" s="125"/>
      <c r="AJ179" s="125"/>
      <c r="AK179" s="125"/>
      <c r="AL179" s="125"/>
      <c r="AM179" s="125"/>
      <c r="AN179" s="125"/>
      <c r="AO179" s="125"/>
    </row>
    <row r="180" spans="1:41" x14ac:dyDescent="0.25">
      <c r="A180" s="125"/>
      <c r="B180" s="125"/>
      <c r="C180" s="125"/>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c r="AF180" s="125"/>
      <c r="AG180" s="125"/>
      <c r="AH180" s="125"/>
      <c r="AI180" s="125"/>
      <c r="AJ180" s="125"/>
      <c r="AK180" s="125"/>
      <c r="AL180" s="125"/>
      <c r="AM180" s="125"/>
      <c r="AN180" s="125"/>
      <c r="AO180" s="125"/>
    </row>
    <row r="181" spans="1:41" x14ac:dyDescent="0.25">
      <c r="A181" s="125"/>
      <c r="B181" s="125"/>
      <c r="C181" s="125"/>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c r="AF181" s="125"/>
      <c r="AG181" s="125"/>
      <c r="AH181" s="125"/>
      <c r="AI181" s="125"/>
      <c r="AJ181" s="125"/>
      <c r="AK181" s="125"/>
      <c r="AL181" s="125"/>
      <c r="AM181" s="125"/>
      <c r="AN181" s="125"/>
      <c r="AO181" s="125"/>
    </row>
    <row r="182" spans="1:41" x14ac:dyDescent="0.25">
      <c r="A182" s="125"/>
      <c r="B182" s="125"/>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row>
    <row r="183" spans="1:41" x14ac:dyDescent="0.25">
      <c r="A183" s="125"/>
      <c r="B183" s="125"/>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c r="AF183" s="125"/>
      <c r="AG183" s="125"/>
      <c r="AH183" s="125"/>
      <c r="AI183" s="125"/>
      <c r="AJ183" s="125"/>
      <c r="AK183" s="125"/>
      <c r="AL183" s="125"/>
      <c r="AM183" s="125"/>
      <c r="AN183" s="125"/>
      <c r="AO183" s="125"/>
    </row>
    <row r="184" spans="1:41" x14ac:dyDescent="0.25">
      <c r="A184" s="125"/>
      <c r="B184" s="125"/>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125"/>
      <c r="AE184" s="125"/>
      <c r="AF184" s="125"/>
      <c r="AG184" s="125"/>
      <c r="AH184" s="125"/>
      <c r="AI184" s="125"/>
      <c r="AJ184" s="125"/>
      <c r="AK184" s="125"/>
      <c r="AL184" s="125"/>
      <c r="AM184" s="125"/>
      <c r="AN184" s="125"/>
      <c r="AO184" s="125"/>
    </row>
    <row r="185" spans="1:41" x14ac:dyDescent="0.25">
      <c r="A185" s="125"/>
      <c r="B185" s="125"/>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c r="AD185" s="125"/>
      <c r="AE185" s="125"/>
      <c r="AF185" s="125"/>
      <c r="AG185" s="125"/>
      <c r="AH185" s="125"/>
      <c r="AI185" s="125"/>
      <c r="AJ185" s="125"/>
      <c r="AK185" s="125"/>
      <c r="AL185" s="125"/>
      <c r="AM185" s="125"/>
      <c r="AN185" s="125"/>
      <c r="AO185" s="125"/>
    </row>
    <row r="186" spans="1:41" x14ac:dyDescent="0.25">
      <c r="A186" s="125"/>
      <c r="B186" s="125"/>
      <c r="C186" s="125"/>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c r="AD186" s="125"/>
      <c r="AE186" s="125"/>
      <c r="AF186" s="125"/>
      <c r="AG186" s="125"/>
      <c r="AH186" s="125"/>
      <c r="AI186" s="125"/>
      <c r="AJ186" s="125"/>
      <c r="AK186" s="125"/>
      <c r="AL186" s="125"/>
      <c r="AM186" s="125"/>
      <c r="AN186" s="125"/>
      <c r="AO186" s="125"/>
    </row>
    <row r="187" spans="1:41" x14ac:dyDescent="0.25">
      <c r="A187" s="125"/>
      <c r="B187" s="125"/>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c r="AD187" s="125"/>
      <c r="AE187" s="125"/>
      <c r="AF187" s="125"/>
      <c r="AG187" s="125"/>
      <c r="AH187" s="125"/>
      <c r="AI187" s="125"/>
      <c r="AJ187" s="125"/>
      <c r="AK187" s="125"/>
      <c r="AL187" s="125"/>
      <c r="AM187" s="125"/>
      <c r="AN187" s="125"/>
      <c r="AO187" s="125"/>
    </row>
    <row r="188" spans="1:41" x14ac:dyDescent="0.25">
      <c r="A188" s="125"/>
      <c r="B188" s="125"/>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c r="AD188" s="125"/>
      <c r="AE188" s="125"/>
      <c r="AF188" s="125"/>
      <c r="AG188" s="125"/>
      <c r="AH188" s="125"/>
      <c r="AI188" s="125"/>
      <c r="AJ188" s="125"/>
      <c r="AK188" s="125"/>
      <c r="AL188" s="125"/>
      <c r="AM188" s="125"/>
      <c r="AN188" s="125"/>
      <c r="AO188" s="125"/>
    </row>
    <row r="189" spans="1:41" x14ac:dyDescent="0.25">
      <c r="A189" s="125"/>
      <c r="B189" s="125"/>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E189" s="125"/>
      <c r="AF189" s="125"/>
      <c r="AG189" s="125"/>
      <c r="AH189" s="125"/>
      <c r="AI189" s="125"/>
      <c r="AJ189" s="125"/>
      <c r="AK189" s="125"/>
      <c r="AL189" s="125"/>
      <c r="AM189" s="125"/>
      <c r="AN189" s="125"/>
      <c r="AO189" s="125"/>
    </row>
    <row r="190" spans="1:41" x14ac:dyDescent="0.25">
      <c r="A190" s="125"/>
      <c r="B190" s="125"/>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c r="AD190" s="125"/>
      <c r="AE190" s="125"/>
      <c r="AF190" s="125"/>
      <c r="AG190" s="125"/>
      <c r="AH190" s="125"/>
      <c r="AI190" s="125"/>
      <c r="AJ190" s="125"/>
      <c r="AK190" s="125"/>
      <c r="AL190" s="125"/>
      <c r="AM190" s="125"/>
      <c r="AN190" s="125"/>
      <c r="AO190" s="125"/>
    </row>
    <row r="191" spans="1:41" x14ac:dyDescent="0.25">
      <c r="A191" s="125"/>
      <c r="B191" s="125"/>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125"/>
      <c r="AE191" s="125"/>
      <c r="AF191" s="125"/>
      <c r="AG191" s="125"/>
      <c r="AH191" s="125"/>
      <c r="AI191" s="125"/>
      <c r="AJ191" s="125"/>
      <c r="AK191" s="125"/>
      <c r="AL191" s="125"/>
      <c r="AM191" s="125"/>
      <c r="AN191" s="125"/>
      <c r="AO191" s="125"/>
    </row>
    <row r="192" spans="1:41" x14ac:dyDescent="0.25">
      <c r="A192" s="125"/>
      <c r="B192" s="125"/>
      <c r="C192" s="125"/>
      <c r="D192" s="125"/>
      <c r="E192" s="125"/>
      <c r="F192" s="125"/>
      <c r="G192" s="125"/>
      <c r="H192" s="125"/>
      <c r="I192" s="125"/>
      <c r="J192" s="125"/>
      <c r="K192" s="125"/>
      <c r="L192" s="125"/>
      <c r="M192" s="125"/>
      <c r="N192" s="125"/>
      <c r="O192" s="125"/>
      <c r="P192" s="125"/>
      <c r="Q192" s="125"/>
      <c r="R192" s="125"/>
      <c r="S192" s="125"/>
      <c r="T192" s="125"/>
      <c r="U192" s="125"/>
      <c r="V192" s="125"/>
      <c r="W192" s="125"/>
      <c r="X192" s="125"/>
      <c r="Y192" s="125"/>
      <c r="Z192" s="125"/>
      <c r="AA192" s="125"/>
      <c r="AB192" s="125"/>
      <c r="AC192" s="125"/>
      <c r="AD192" s="125"/>
      <c r="AE192" s="125"/>
      <c r="AF192" s="125"/>
      <c r="AG192" s="125"/>
      <c r="AH192" s="125"/>
      <c r="AI192" s="125"/>
      <c r="AJ192" s="125"/>
      <c r="AK192" s="125"/>
      <c r="AL192" s="125"/>
      <c r="AM192" s="125"/>
      <c r="AN192" s="125"/>
      <c r="AO192" s="125"/>
    </row>
    <row r="193" spans="1:41" x14ac:dyDescent="0.25">
      <c r="A193" s="125"/>
      <c r="B193" s="125"/>
      <c r="C193" s="125"/>
      <c r="D193" s="125"/>
      <c r="E193" s="125"/>
      <c r="F193" s="125"/>
      <c r="G193" s="125"/>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125"/>
      <c r="AE193" s="125"/>
      <c r="AF193" s="125"/>
      <c r="AG193" s="125"/>
      <c r="AH193" s="125"/>
      <c r="AI193" s="125"/>
      <c r="AJ193" s="125"/>
      <c r="AK193" s="125"/>
      <c r="AL193" s="125"/>
      <c r="AM193" s="125"/>
      <c r="AN193" s="125"/>
      <c r="AO193" s="125"/>
    </row>
    <row r="194" spans="1:41" x14ac:dyDescent="0.25">
      <c r="A194" s="125"/>
      <c r="B194" s="125"/>
      <c r="C194" s="125"/>
      <c r="D194" s="125"/>
      <c r="E194" s="125"/>
      <c r="F194" s="125"/>
      <c r="G194" s="125"/>
      <c r="H194" s="125"/>
      <c r="I194" s="125"/>
      <c r="J194" s="125"/>
      <c r="K194" s="125"/>
      <c r="L194" s="125"/>
      <c r="M194" s="125"/>
      <c r="N194" s="125"/>
      <c r="O194" s="125"/>
      <c r="P194" s="125"/>
      <c r="Q194" s="125"/>
      <c r="R194" s="125"/>
      <c r="S194" s="125"/>
      <c r="T194" s="125"/>
      <c r="U194" s="125"/>
      <c r="V194" s="125"/>
      <c r="W194" s="125"/>
      <c r="X194" s="125"/>
      <c r="Y194" s="125"/>
      <c r="Z194" s="125"/>
      <c r="AA194" s="125"/>
      <c r="AB194" s="125"/>
      <c r="AC194" s="125"/>
      <c r="AD194" s="125"/>
      <c r="AE194" s="125"/>
      <c r="AF194" s="125"/>
      <c r="AG194" s="125"/>
      <c r="AH194" s="125"/>
      <c r="AI194" s="125"/>
      <c r="AJ194" s="125"/>
      <c r="AK194" s="125"/>
      <c r="AL194" s="125"/>
      <c r="AM194" s="125"/>
      <c r="AN194" s="125"/>
      <c r="AO194" s="125"/>
    </row>
    <row r="195" spans="1:41" x14ac:dyDescent="0.25">
      <c r="A195" s="125"/>
      <c r="B195" s="125"/>
      <c r="C195" s="125"/>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125"/>
      <c r="AE195" s="125"/>
      <c r="AF195" s="125"/>
      <c r="AG195" s="125"/>
      <c r="AH195" s="125"/>
      <c r="AI195" s="125"/>
      <c r="AJ195" s="125"/>
      <c r="AK195" s="125"/>
      <c r="AL195" s="125"/>
      <c r="AM195" s="125"/>
      <c r="AN195" s="125"/>
      <c r="AO195" s="125"/>
    </row>
    <row r="196" spans="1:41" x14ac:dyDescent="0.25">
      <c r="A196" s="125"/>
      <c r="B196" s="125"/>
      <c r="C196" s="125"/>
      <c r="D196" s="125"/>
      <c r="E196" s="125"/>
      <c r="F196" s="125"/>
      <c r="G196" s="125"/>
      <c r="H196" s="125"/>
      <c r="I196" s="125"/>
      <c r="J196" s="125"/>
      <c r="K196" s="125"/>
      <c r="L196" s="125"/>
      <c r="M196" s="125"/>
      <c r="N196" s="125"/>
      <c r="O196" s="125"/>
      <c r="P196" s="125"/>
      <c r="Q196" s="125"/>
      <c r="R196" s="125"/>
      <c r="S196" s="125"/>
      <c r="T196" s="125"/>
      <c r="U196" s="125"/>
      <c r="V196" s="125"/>
      <c r="W196" s="125"/>
      <c r="X196" s="125"/>
      <c r="Y196" s="125"/>
      <c r="Z196" s="125"/>
      <c r="AA196" s="125"/>
      <c r="AB196" s="125"/>
      <c r="AC196" s="125"/>
      <c r="AD196" s="125"/>
      <c r="AE196" s="125"/>
      <c r="AF196" s="125"/>
      <c r="AG196" s="125"/>
      <c r="AH196" s="125"/>
      <c r="AI196" s="125"/>
      <c r="AJ196" s="125"/>
      <c r="AK196" s="125"/>
      <c r="AL196" s="125"/>
      <c r="AM196" s="125"/>
      <c r="AN196" s="125"/>
      <c r="AO196" s="125"/>
    </row>
    <row r="197" spans="1:41" x14ac:dyDescent="0.25">
      <c r="A197" s="125"/>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25"/>
      <c r="AN197" s="125"/>
      <c r="AO197" s="125"/>
    </row>
    <row r="198" spans="1:41" x14ac:dyDescent="0.25">
      <c r="A198" s="125"/>
      <c r="B198" s="125"/>
      <c r="C198" s="125"/>
      <c r="D198" s="125"/>
      <c r="E198" s="125"/>
      <c r="F198" s="125"/>
      <c r="G198" s="125"/>
      <c r="H198" s="125"/>
      <c r="I198" s="125"/>
      <c r="J198" s="125"/>
      <c r="K198" s="125"/>
      <c r="L198" s="125"/>
      <c r="M198" s="125"/>
      <c r="N198" s="125"/>
      <c r="O198" s="125"/>
      <c r="P198" s="125"/>
      <c r="Q198" s="125"/>
      <c r="R198" s="125"/>
      <c r="S198" s="125"/>
      <c r="T198" s="125"/>
      <c r="U198" s="125"/>
      <c r="V198" s="125"/>
      <c r="W198" s="125"/>
      <c r="X198" s="125"/>
      <c r="Y198" s="125"/>
      <c r="Z198" s="125"/>
      <c r="AA198" s="125"/>
      <c r="AB198" s="125"/>
      <c r="AC198" s="125"/>
      <c r="AD198" s="125"/>
      <c r="AE198" s="125"/>
      <c r="AF198" s="125"/>
      <c r="AG198" s="125"/>
      <c r="AH198" s="125"/>
      <c r="AI198" s="125"/>
      <c r="AJ198" s="125"/>
      <c r="AK198" s="125"/>
      <c r="AL198" s="125"/>
      <c r="AM198" s="125"/>
      <c r="AN198" s="125"/>
      <c r="AO198" s="125"/>
    </row>
    <row r="199" spans="1:41" x14ac:dyDescent="0.25">
      <c r="A199" s="125"/>
      <c r="B199" s="125"/>
      <c r="C199" s="125"/>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5"/>
      <c r="AA199" s="125"/>
      <c r="AB199" s="125"/>
      <c r="AC199" s="125"/>
      <c r="AD199" s="125"/>
      <c r="AE199" s="125"/>
      <c r="AF199" s="125"/>
      <c r="AG199" s="125"/>
      <c r="AH199" s="125"/>
      <c r="AI199" s="125"/>
      <c r="AJ199" s="125"/>
      <c r="AK199" s="125"/>
      <c r="AL199" s="125"/>
      <c r="AM199" s="125"/>
      <c r="AN199" s="125"/>
      <c r="AO199" s="125"/>
    </row>
    <row r="200" spans="1:41" x14ac:dyDescent="0.25">
      <c r="A200" s="125"/>
      <c r="B200" s="125"/>
      <c r="C200" s="125"/>
      <c r="D200" s="125"/>
      <c r="E200" s="125"/>
      <c r="F200" s="125"/>
      <c r="G200" s="125"/>
      <c r="H200" s="125"/>
      <c r="I200" s="125"/>
      <c r="J200" s="125"/>
      <c r="K200" s="125"/>
      <c r="L200" s="125"/>
      <c r="M200" s="125"/>
      <c r="N200" s="125"/>
      <c r="O200" s="125"/>
      <c r="P200" s="125"/>
      <c r="Q200" s="125"/>
      <c r="R200" s="125"/>
      <c r="S200" s="125"/>
      <c r="T200" s="125"/>
      <c r="U200" s="125"/>
      <c r="V200" s="125"/>
      <c r="W200" s="125"/>
      <c r="X200" s="125"/>
      <c r="Y200" s="125"/>
      <c r="Z200" s="125"/>
      <c r="AA200" s="125"/>
      <c r="AB200" s="125"/>
      <c r="AC200" s="125"/>
      <c r="AD200" s="125"/>
      <c r="AE200" s="125"/>
      <c r="AF200" s="125"/>
      <c r="AG200" s="125"/>
      <c r="AH200" s="125"/>
      <c r="AI200" s="125"/>
      <c r="AJ200" s="125"/>
      <c r="AK200" s="125"/>
      <c r="AL200" s="125"/>
      <c r="AM200" s="125"/>
      <c r="AN200" s="125"/>
      <c r="AO200" s="125"/>
    </row>
    <row r="201" spans="1:41" x14ac:dyDescent="0.25">
      <c r="A201" s="125"/>
      <c r="B201" s="125"/>
      <c r="C201" s="125"/>
      <c r="D201" s="125"/>
      <c r="E201" s="125"/>
      <c r="F201" s="125"/>
      <c r="G201" s="125"/>
      <c r="H201" s="125"/>
      <c r="I201" s="125"/>
      <c r="J201" s="125"/>
      <c r="K201" s="125"/>
      <c r="L201" s="125"/>
      <c r="M201" s="125"/>
      <c r="N201" s="125"/>
      <c r="O201" s="125"/>
      <c r="P201" s="125"/>
      <c r="Q201" s="125"/>
      <c r="R201" s="125"/>
      <c r="S201" s="125"/>
      <c r="T201" s="125"/>
      <c r="U201" s="125"/>
      <c r="V201" s="125"/>
      <c r="W201" s="125"/>
      <c r="X201" s="125"/>
      <c r="Y201" s="125"/>
      <c r="Z201" s="125"/>
      <c r="AA201" s="125"/>
      <c r="AB201" s="125"/>
      <c r="AC201" s="125"/>
      <c r="AD201" s="125"/>
      <c r="AE201" s="125"/>
      <c r="AF201" s="125"/>
      <c r="AG201" s="125"/>
      <c r="AH201" s="125"/>
      <c r="AI201" s="125"/>
      <c r="AJ201" s="125"/>
      <c r="AK201" s="125"/>
      <c r="AL201" s="125"/>
      <c r="AM201" s="125"/>
      <c r="AN201" s="125"/>
      <c r="AO201" s="125"/>
    </row>
    <row r="202" spans="1:41" x14ac:dyDescent="0.25">
      <c r="A202" s="125"/>
      <c r="B202" s="125"/>
      <c r="C202" s="125"/>
      <c r="D202" s="125"/>
      <c r="E202" s="125"/>
      <c r="F202" s="125"/>
      <c r="G202" s="125"/>
      <c r="H202" s="125"/>
      <c r="I202" s="125"/>
      <c r="J202" s="125"/>
      <c r="K202" s="125"/>
      <c r="L202" s="125"/>
      <c r="M202" s="125"/>
      <c r="N202" s="125"/>
      <c r="O202" s="125"/>
      <c r="P202" s="125"/>
      <c r="Q202" s="125"/>
      <c r="R202" s="125"/>
      <c r="S202" s="125"/>
      <c r="T202" s="125"/>
      <c r="U202" s="125"/>
      <c r="V202" s="125"/>
      <c r="W202" s="125"/>
      <c r="X202" s="125"/>
      <c r="Y202" s="125"/>
      <c r="Z202" s="125"/>
      <c r="AA202" s="125"/>
      <c r="AB202" s="125"/>
      <c r="AC202" s="125"/>
      <c r="AD202" s="125"/>
      <c r="AE202" s="125"/>
      <c r="AF202" s="125"/>
      <c r="AG202" s="125"/>
      <c r="AH202" s="125"/>
      <c r="AI202" s="125"/>
      <c r="AJ202" s="125"/>
      <c r="AK202" s="125"/>
      <c r="AL202" s="125"/>
      <c r="AM202" s="125"/>
      <c r="AN202" s="125"/>
      <c r="AO202" s="125"/>
    </row>
    <row r="203" spans="1:41" x14ac:dyDescent="0.25">
      <c r="A203" s="125"/>
      <c r="B203" s="125"/>
      <c r="C203" s="125"/>
      <c r="D203" s="125"/>
      <c r="E203" s="125"/>
      <c r="F203" s="125"/>
      <c r="G203" s="125"/>
      <c r="H203" s="125"/>
      <c r="I203" s="125"/>
      <c r="J203" s="125"/>
      <c r="K203" s="125"/>
      <c r="L203" s="125"/>
      <c r="M203" s="125"/>
      <c r="N203" s="125"/>
      <c r="O203" s="125"/>
      <c r="P203" s="125"/>
      <c r="Q203" s="125"/>
      <c r="R203" s="125"/>
      <c r="S203" s="125"/>
      <c r="T203" s="125"/>
      <c r="U203" s="125"/>
      <c r="V203" s="125"/>
      <c r="W203" s="125"/>
      <c r="X203" s="125"/>
      <c r="Y203" s="125"/>
      <c r="Z203" s="125"/>
      <c r="AA203" s="125"/>
      <c r="AB203" s="125"/>
      <c r="AC203" s="125"/>
      <c r="AD203" s="125"/>
      <c r="AE203" s="125"/>
      <c r="AF203" s="125"/>
      <c r="AG203" s="125"/>
      <c r="AH203" s="125"/>
      <c r="AI203" s="125"/>
      <c r="AJ203" s="125"/>
      <c r="AK203" s="125"/>
      <c r="AL203" s="125"/>
      <c r="AM203" s="125"/>
      <c r="AN203" s="125"/>
      <c r="AO203" s="125"/>
    </row>
    <row r="204" spans="1:41" x14ac:dyDescent="0.25">
      <c r="A204" s="125"/>
      <c r="B204" s="125"/>
      <c r="C204" s="125"/>
      <c r="D204" s="125"/>
      <c r="E204" s="125"/>
      <c r="F204" s="125"/>
      <c r="G204" s="125"/>
      <c r="H204" s="125"/>
      <c r="I204" s="125"/>
      <c r="J204" s="125"/>
      <c r="K204" s="125"/>
      <c r="L204" s="125"/>
      <c r="M204" s="125"/>
      <c r="N204" s="125"/>
      <c r="O204" s="125"/>
      <c r="P204" s="125"/>
      <c r="Q204" s="125"/>
      <c r="R204" s="125"/>
      <c r="S204" s="125"/>
      <c r="T204" s="125"/>
      <c r="U204" s="125"/>
      <c r="V204" s="125"/>
      <c r="W204" s="125"/>
      <c r="X204" s="125"/>
      <c r="Y204" s="125"/>
      <c r="Z204" s="125"/>
      <c r="AA204" s="125"/>
      <c r="AB204" s="125"/>
      <c r="AC204" s="125"/>
      <c r="AD204" s="125"/>
      <c r="AE204" s="125"/>
      <c r="AF204" s="125"/>
      <c r="AG204" s="125"/>
      <c r="AH204" s="125"/>
      <c r="AI204" s="125"/>
      <c r="AJ204" s="125"/>
      <c r="AK204" s="125"/>
      <c r="AL204" s="125"/>
      <c r="AM204" s="125"/>
      <c r="AN204" s="125"/>
      <c r="AO204" s="125"/>
    </row>
    <row r="205" spans="1:41" x14ac:dyDescent="0.25">
      <c r="A205" s="125"/>
      <c r="B205" s="125"/>
      <c r="C205" s="125"/>
      <c r="D205" s="125"/>
      <c r="E205" s="125"/>
      <c r="F205" s="125"/>
      <c r="G205" s="125"/>
      <c r="H205" s="125"/>
      <c r="I205" s="125"/>
      <c r="J205" s="125"/>
      <c r="K205" s="125"/>
      <c r="L205" s="125"/>
      <c r="M205" s="125"/>
      <c r="N205" s="125"/>
      <c r="O205" s="125"/>
      <c r="P205" s="125"/>
      <c r="Q205" s="125"/>
      <c r="R205" s="125"/>
      <c r="S205" s="125"/>
      <c r="T205" s="125"/>
      <c r="U205" s="125"/>
      <c r="V205" s="125"/>
      <c r="W205" s="125"/>
      <c r="X205" s="125"/>
      <c r="Y205" s="125"/>
      <c r="Z205" s="125"/>
      <c r="AA205" s="125"/>
      <c r="AB205" s="125"/>
      <c r="AC205" s="125"/>
      <c r="AD205" s="125"/>
      <c r="AE205" s="125"/>
      <c r="AF205" s="125"/>
      <c r="AG205" s="125"/>
      <c r="AH205" s="125"/>
      <c r="AI205" s="125"/>
      <c r="AJ205" s="125"/>
      <c r="AK205" s="125"/>
      <c r="AL205" s="125"/>
      <c r="AM205" s="125"/>
      <c r="AN205" s="125"/>
      <c r="AO205" s="125"/>
    </row>
    <row r="206" spans="1:41" x14ac:dyDescent="0.25">
      <c r="A206" s="125"/>
      <c r="B206" s="125"/>
      <c r="C206" s="125"/>
      <c r="D206" s="125"/>
      <c r="E206" s="125"/>
      <c r="F206" s="125"/>
      <c r="G206" s="125"/>
      <c r="H206" s="125"/>
      <c r="I206" s="125"/>
      <c r="J206" s="125"/>
      <c r="K206" s="125"/>
      <c r="L206" s="125"/>
      <c r="M206" s="125"/>
      <c r="N206" s="125"/>
      <c r="O206" s="125"/>
      <c r="P206" s="125"/>
      <c r="Q206" s="125"/>
      <c r="R206" s="125"/>
      <c r="S206" s="125"/>
      <c r="T206" s="125"/>
      <c r="U206" s="125"/>
      <c r="V206" s="125"/>
      <c r="W206" s="125"/>
      <c r="X206" s="125"/>
      <c r="Y206" s="125"/>
      <c r="Z206" s="125"/>
      <c r="AA206" s="125"/>
      <c r="AB206" s="125"/>
      <c r="AC206" s="125"/>
      <c r="AD206" s="125"/>
      <c r="AE206" s="125"/>
      <c r="AF206" s="125"/>
      <c r="AG206" s="125"/>
      <c r="AH206" s="125"/>
      <c r="AI206" s="125"/>
      <c r="AJ206" s="125"/>
      <c r="AK206" s="125"/>
      <c r="AL206" s="125"/>
      <c r="AM206" s="125"/>
      <c r="AN206" s="125"/>
      <c r="AO206" s="125"/>
    </row>
    <row r="207" spans="1:41" x14ac:dyDescent="0.25">
      <c r="A207" s="125"/>
      <c r="B207" s="125"/>
      <c r="C207" s="125"/>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5"/>
      <c r="AA207" s="125"/>
      <c r="AB207" s="125"/>
      <c r="AC207" s="125"/>
      <c r="AD207" s="125"/>
      <c r="AE207" s="125"/>
      <c r="AF207" s="125"/>
      <c r="AG207" s="125"/>
      <c r="AH207" s="125"/>
      <c r="AI207" s="125"/>
      <c r="AJ207" s="125"/>
      <c r="AK207" s="125"/>
      <c r="AL207" s="125"/>
      <c r="AM207" s="125"/>
      <c r="AN207" s="125"/>
      <c r="AO207" s="125"/>
    </row>
    <row r="208" spans="1:41" x14ac:dyDescent="0.25">
      <c r="A208" s="125"/>
      <c r="B208" s="125"/>
      <c r="C208" s="125"/>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5"/>
      <c r="AA208" s="125"/>
      <c r="AB208" s="125"/>
      <c r="AC208" s="125"/>
      <c r="AD208" s="125"/>
      <c r="AE208" s="125"/>
      <c r="AF208" s="125"/>
      <c r="AG208" s="125"/>
      <c r="AH208" s="125"/>
      <c r="AI208" s="125"/>
      <c r="AJ208" s="125"/>
      <c r="AK208" s="125"/>
      <c r="AL208" s="125"/>
      <c r="AM208" s="125"/>
      <c r="AN208" s="125"/>
      <c r="AO208" s="125"/>
    </row>
    <row r="209" spans="1:41" x14ac:dyDescent="0.25">
      <c r="A209" s="125"/>
      <c r="B209" s="125"/>
      <c r="C209" s="125"/>
      <c r="D209" s="125"/>
      <c r="E209" s="125"/>
      <c r="F209" s="125"/>
      <c r="G209" s="125"/>
      <c r="H209" s="125"/>
      <c r="I209" s="125"/>
      <c r="J209" s="125"/>
      <c r="K209" s="125"/>
      <c r="L209" s="125"/>
      <c r="M209" s="125"/>
      <c r="N209" s="125"/>
      <c r="O209" s="125"/>
      <c r="P209" s="125"/>
      <c r="Q209" s="125"/>
      <c r="R209" s="125"/>
      <c r="S209" s="125"/>
      <c r="T209" s="125"/>
      <c r="U209" s="125"/>
      <c r="V209" s="125"/>
      <c r="W209" s="125"/>
      <c r="X209" s="125"/>
      <c r="Y209" s="125"/>
      <c r="Z209" s="125"/>
      <c r="AA209" s="125"/>
      <c r="AB209" s="125"/>
      <c r="AC209" s="125"/>
      <c r="AD209" s="125"/>
      <c r="AE209" s="125"/>
      <c r="AF209" s="125"/>
      <c r="AG209" s="125"/>
      <c r="AH209" s="125"/>
      <c r="AI209" s="125"/>
      <c r="AJ209" s="125"/>
      <c r="AK209" s="125"/>
      <c r="AL209" s="125"/>
      <c r="AM209" s="125"/>
      <c r="AN209" s="125"/>
      <c r="AO209" s="125"/>
    </row>
    <row r="210" spans="1:41" x14ac:dyDescent="0.25">
      <c r="A210" s="125"/>
      <c r="B210" s="125"/>
      <c r="C210" s="125"/>
      <c r="D210" s="125"/>
      <c r="E210" s="125"/>
      <c r="F210" s="125"/>
      <c r="G210" s="125"/>
      <c r="H210" s="125"/>
      <c r="I210" s="125"/>
      <c r="J210" s="125"/>
      <c r="K210" s="125"/>
      <c r="L210" s="125"/>
      <c r="M210" s="125"/>
      <c r="N210" s="125"/>
      <c r="O210" s="125"/>
      <c r="P210" s="125"/>
      <c r="Q210" s="125"/>
      <c r="R210" s="125"/>
      <c r="S210" s="125"/>
      <c r="T210" s="125"/>
      <c r="U210" s="125"/>
      <c r="V210" s="125"/>
      <c r="W210" s="125"/>
      <c r="X210" s="125"/>
      <c r="Y210" s="125"/>
      <c r="Z210" s="125"/>
      <c r="AA210" s="125"/>
      <c r="AB210" s="125"/>
      <c r="AC210" s="125"/>
      <c r="AD210" s="125"/>
      <c r="AE210" s="125"/>
      <c r="AF210" s="125"/>
      <c r="AG210" s="125"/>
      <c r="AH210" s="125"/>
      <c r="AI210" s="125"/>
      <c r="AJ210" s="125"/>
      <c r="AK210" s="125"/>
      <c r="AL210" s="125"/>
      <c r="AM210" s="125"/>
      <c r="AN210" s="125"/>
      <c r="AO210" s="125"/>
    </row>
    <row r="211" spans="1:41" x14ac:dyDescent="0.25">
      <c r="A211" s="125"/>
      <c r="B211" s="125"/>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5"/>
      <c r="Z211" s="125"/>
      <c r="AA211" s="125"/>
      <c r="AB211" s="125"/>
      <c r="AC211" s="125"/>
      <c r="AD211" s="125"/>
      <c r="AE211" s="125"/>
      <c r="AF211" s="125"/>
      <c r="AG211" s="125"/>
      <c r="AH211" s="125"/>
      <c r="AI211" s="125"/>
      <c r="AJ211" s="125"/>
      <c r="AK211" s="125"/>
      <c r="AL211" s="125"/>
      <c r="AM211" s="125"/>
      <c r="AN211" s="125"/>
      <c r="AO211" s="125"/>
    </row>
    <row r="212" spans="1:41" x14ac:dyDescent="0.25">
      <c r="A212" s="125"/>
      <c r="B212" s="125"/>
      <c r="C212" s="125"/>
      <c r="D212" s="125"/>
      <c r="E212" s="125"/>
      <c r="F212" s="125"/>
      <c r="G212" s="125"/>
      <c r="H212" s="125"/>
      <c r="I212" s="125"/>
      <c r="J212" s="125"/>
      <c r="K212" s="125"/>
      <c r="L212" s="125"/>
      <c r="M212" s="125"/>
      <c r="N212" s="125"/>
      <c r="O212" s="125"/>
      <c r="P212" s="125"/>
      <c r="Q212" s="125"/>
      <c r="R212" s="125"/>
      <c r="S212" s="125"/>
      <c r="T212" s="125"/>
      <c r="U212" s="125"/>
      <c r="V212" s="125"/>
      <c r="W212" s="125"/>
      <c r="X212" s="125"/>
      <c r="Y212" s="125"/>
      <c r="Z212" s="125"/>
      <c r="AA212" s="125"/>
      <c r="AB212" s="125"/>
      <c r="AC212" s="125"/>
      <c r="AD212" s="125"/>
      <c r="AE212" s="125"/>
      <c r="AF212" s="125"/>
      <c r="AG212" s="125"/>
      <c r="AH212" s="125"/>
      <c r="AI212" s="125"/>
      <c r="AJ212" s="125"/>
      <c r="AK212" s="125"/>
      <c r="AL212" s="125"/>
      <c r="AM212" s="125"/>
      <c r="AN212" s="125"/>
      <c r="AO212" s="125"/>
    </row>
    <row r="213" spans="1:41" x14ac:dyDescent="0.25">
      <c r="A213" s="125"/>
      <c r="B213" s="125"/>
      <c r="C213" s="125"/>
      <c r="D213" s="125"/>
      <c r="E213" s="125"/>
      <c r="F213" s="125"/>
      <c r="G213" s="125"/>
      <c r="H213" s="125"/>
      <c r="I213" s="125"/>
      <c r="J213" s="125"/>
      <c r="K213" s="125"/>
      <c r="L213" s="125"/>
      <c r="M213" s="125"/>
      <c r="N213" s="125"/>
      <c r="O213" s="125"/>
      <c r="P213" s="125"/>
      <c r="Q213" s="125"/>
      <c r="R213" s="125"/>
      <c r="S213" s="125"/>
      <c r="T213" s="125"/>
      <c r="U213" s="125"/>
      <c r="V213" s="125"/>
      <c r="W213" s="125"/>
      <c r="X213" s="125"/>
      <c r="Y213" s="125"/>
      <c r="Z213" s="125"/>
      <c r="AA213" s="125"/>
      <c r="AB213" s="125"/>
      <c r="AC213" s="125"/>
      <c r="AD213" s="125"/>
      <c r="AE213" s="125"/>
      <c r="AF213" s="125"/>
      <c r="AG213" s="125"/>
      <c r="AH213" s="125"/>
      <c r="AI213" s="125"/>
      <c r="AJ213" s="125"/>
      <c r="AK213" s="125"/>
      <c r="AL213" s="125"/>
      <c r="AM213" s="125"/>
      <c r="AN213" s="125"/>
      <c r="AO213" s="125"/>
    </row>
    <row r="214" spans="1:41" x14ac:dyDescent="0.25">
      <c r="A214" s="125"/>
      <c r="B214" s="125"/>
      <c r="C214" s="125"/>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c r="AE214" s="125"/>
      <c r="AF214" s="125"/>
      <c r="AG214" s="125"/>
      <c r="AH214" s="125"/>
      <c r="AI214" s="125"/>
      <c r="AJ214" s="125"/>
      <c r="AK214" s="125"/>
      <c r="AL214" s="125"/>
      <c r="AM214" s="125"/>
      <c r="AN214" s="125"/>
      <c r="AO214" s="125"/>
    </row>
    <row r="215" spans="1:41" x14ac:dyDescent="0.25">
      <c r="A215" s="125"/>
      <c r="B215" s="125"/>
      <c r="C215" s="125"/>
      <c r="D215" s="125"/>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AF215" s="125"/>
      <c r="AG215" s="125"/>
      <c r="AH215" s="125"/>
      <c r="AI215" s="125"/>
      <c r="AJ215" s="125"/>
      <c r="AK215" s="125"/>
      <c r="AL215" s="125"/>
      <c r="AM215" s="125"/>
      <c r="AN215" s="125"/>
      <c r="AO215" s="125"/>
    </row>
    <row r="216" spans="1:41" x14ac:dyDescent="0.25">
      <c r="A216" s="125"/>
      <c r="B216" s="125"/>
      <c r="C216" s="125"/>
      <c r="D216" s="125"/>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E216" s="125"/>
      <c r="AF216" s="125"/>
      <c r="AG216" s="125"/>
      <c r="AH216" s="125"/>
      <c r="AI216" s="125"/>
      <c r="AJ216" s="125"/>
      <c r="AK216" s="125"/>
      <c r="AL216" s="125"/>
      <c r="AM216" s="125"/>
      <c r="AN216" s="125"/>
      <c r="AO216" s="125"/>
    </row>
    <row r="217" spans="1:41" x14ac:dyDescent="0.25">
      <c r="A217" s="125"/>
      <c r="B217" s="125"/>
      <c r="C217" s="125"/>
      <c r="D217" s="125"/>
      <c r="E217" s="125"/>
      <c r="F217" s="125"/>
      <c r="G217" s="125"/>
      <c r="H217" s="125"/>
      <c r="I217" s="125"/>
      <c r="J217" s="125"/>
      <c r="K217" s="125"/>
      <c r="L217" s="125"/>
      <c r="M217" s="125"/>
      <c r="N217" s="125"/>
      <c r="O217" s="125"/>
      <c r="P217" s="125"/>
      <c r="Q217" s="125"/>
      <c r="R217" s="125"/>
      <c r="S217" s="125"/>
      <c r="T217" s="125"/>
      <c r="U217" s="125"/>
      <c r="V217" s="125"/>
      <c r="W217" s="125"/>
      <c r="X217" s="125"/>
      <c r="Y217" s="125"/>
      <c r="Z217" s="125"/>
      <c r="AA217" s="125"/>
      <c r="AB217" s="125"/>
      <c r="AC217" s="125"/>
      <c r="AD217" s="125"/>
      <c r="AE217" s="125"/>
      <c r="AF217" s="125"/>
      <c r="AG217" s="125"/>
      <c r="AH217" s="125"/>
      <c r="AI217" s="125"/>
      <c r="AJ217" s="125"/>
      <c r="AK217" s="125"/>
      <c r="AL217" s="125"/>
      <c r="AM217" s="125"/>
      <c r="AN217" s="125"/>
      <c r="AO217" s="125"/>
    </row>
    <row r="218" spans="1:41" x14ac:dyDescent="0.25">
      <c r="A218" s="125"/>
      <c r="B218" s="125"/>
      <c r="C218" s="125"/>
      <c r="D218" s="125"/>
      <c r="E218" s="125"/>
      <c r="F218" s="125"/>
      <c r="G218" s="125"/>
      <c r="H218" s="125"/>
      <c r="I218" s="125"/>
      <c r="J218" s="125"/>
      <c r="K218" s="125"/>
      <c r="L218" s="125"/>
      <c r="M218" s="125"/>
      <c r="N218" s="125"/>
      <c r="O218" s="125"/>
      <c r="P218" s="125"/>
      <c r="Q218" s="125"/>
      <c r="R218" s="125"/>
      <c r="S218" s="125"/>
      <c r="T218" s="125"/>
      <c r="U218" s="125"/>
      <c r="V218" s="125"/>
      <c r="W218" s="125"/>
      <c r="X218" s="125"/>
      <c r="Y218" s="125"/>
      <c r="Z218" s="125"/>
      <c r="AA218" s="125"/>
      <c r="AB218" s="125"/>
      <c r="AC218" s="125"/>
      <c r="AD218" s="125"/>
      <c r="AE218" s="125"/>
      <c r="AF218" s="125"/>
      <c r="AG218" s="125"/>
      <c r="AH218" s="125"/>
      <c r="AI218" s="125"/>
      <c r="AJ218" s="125"/>
      <c r="AK218" s="125"/>
      <c r="AL218" s="125"/>
      <c r="AM218" s="125"/>
      <c r="AN218" s="125"/>
      <c r="AO218" s="125"/>
    </row>
    <row r="219" spans="1:41" x14ac:dyDescent="0.25">
      <c r="A219" s="125"/>
      <c r="B219" s="125"/>
      <c r="C219" s="125"/>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5"/>
      <c r="AE219" s="125"/>
      <c r="AF219" s="125"/>
      <c r="AG219" s="125"/>
      <c r="AH219" s="125"/>
      <c r="AI219" s="125"/>
      <c r="AJ219" s="125"/>
      <c r="AK219" s="125"/>
      <c r="AL219" s="125"/>
      <c r="AM219" s="125"/>
      <c r="AN219" s="125"/>
      <c r="AO219" s="125"/>
    </row>
    <row r="220" spans="1:41" x14ac:dyDescent="0.25">
      <c r="A220" s="125"/>
      <c r="B220" s="125"/>
      <c r="C220" s="125"/>
      <c r="D220" s="125"/>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125"/>
      <c r="AA220" s="125"/>
      <c r="AB220" s="125"/>
      <c r="AC220" s="125"/>
      <c r="AD220" s="125"/>
      <c r="AE220" s="125"/>
      <c r="AF220" s="125"/>
      <c r="AG220" s="125"/>
      <c r="AH220" s="125"/>
      <c r="AI220" s="125"/>
      <c r="AJ220" s="125"/>
      <c r="AK220" s="125"/>
      <c r="AL220" s="125"/>
      <c r="AM220" s="125"/>
      <c r="AN220" s="125"/>
      <c r="AO220" s="125"/>
    </row>
    <row r="221" spans="1:41" x14ac:dyDescent="0.25">
      <c r="A221" s="125"/>
      <c r="B221" s="125"/>
      <c r="C221" s="125"/>
      <c r="D221" s="125"/>
      <c r="E221" s="125"/>
      <c r="F221" s="125"/>
      <c r="G221" s="125"/>
      <c r="H221" s="125"/>
      <c r="I221" s="125"/>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5"/>
      <c r="AK221" s="125"/>
      <c r="AL221" s="125"/>
      <c r="AM221" s="125"/>
      <c r="AN221" s="125"/>
      <c r="AO221" s="125"/>
    </row>
    <row r="222" spans="1:41" x14ac:dyDescent="0.25">
      <c r="A222" s="125"/>
      <c r="B222" s="125"/>
      <c r="C222" s="125"/>
      <c r="D222" s="125"/>
      <c r="E222" s="125"/>
      <c r="F222" s="125"/>
      <c r="G222" s="125"/>
      <c r="H222" s="125"/>
      <c r="I222" s="125"/>
      <c r="J222" s="125"/>
      <c r="K222" s="125"/>
      <c r="L222" s="125"/>
      <c r="M222" s="125"/>
      <c r="N222" s="125"/>
      <c r="O222" s="125"/>
      <c r="P222" s="125"/>
      <c r="Q222" s="125"/>
      <c r="R222" s="125"/>
      <c r="S222" s="125"/>
      <c r="T222" s="125"/>
      <c r="U222" s="125"/>
      <c r="V222" s="125"/>
      <c r="W222" s="125"/>
      <c r="X222" s="125"/>
      <c r="Y222" s="125"/>
      <c r="Z222" s="125"/>
      <c r="AA222" s="125"/>
      <c r="AB222" s="125"/>
      <c r="AC222" s="125"/>
      <c r="AD222" s="125"/>
      <c r="AE222" s="125"/>
      <c r="AF222" s="125"/>
      <c r="AG222" s="125"/>
      <c r="AH222" s="125"/>
      <c r="AI222" s="125"/>
      <c r="AJ222" s="125"/>
      <c r="AK222" s="125"/>
      <c r="AL222" s="125"/>
      <c r="AM222" s="125"/>
      <c r="AN222" s="125"/>
      <c r="AO222" s="125"/>
    </row>
    <row r="223" spans="1:41" x14ac:dyDescent="0.25">
      <c r="A223" s="125"/>
      <c r="B223" s="125"/>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25"/>
      <c r="AA223" s="125"/>
      <c r="AB223" s="125"/>
      <c r="AC223" s="125"/>
      <c r="AD223" s="125"/>
      <c r="AE223" s="125"/>
      <c r="AF223" s="125"/>
      <c r="AG223" s="125"/>
      <c r="AH223" s="125"/>
      <c r="AI223" s="125"/>
      <c r="AJ223" s="125"/>
      <c r="AK223" s="125"/>
      <c r="AL223" s="125"/>
      <c r="AM223" s="125"/>
      <c r="AN223" s="125"/>
      <c r="AO223" s="125"/>
    </row>
    <row r="224" spans="1:41" x14ac:dyDescent="0.25">
      <c r="A224" s="125"/>
      <c r="B224" s="125"/>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5"/>
      <c r="Z224" s="125"/>
      <c r="AA224" s="125"/>
      <c r="AB224" s="125"/>
      <c r="AC224" s="125"/>
      <c r="AD224" s="125"/>
      <c r="AE224" s="125"/>
      <c r="AF224" s="125"/>
      <c r="AG224" s="125"/>
      <c r="AH224" s="125"/>
      <c r="AI224" s="125"/>
      <c r="AJ224" s="125"/>
      <c r="AK224" s="125"/>
      <c r="AL224" s="125"/>
      <c r="AM224" s="125"/>
      <c r="AN224" s="125"/>
      <c r="AO224" s="125"/>
    </row>
    <row r="225" spans="1:41" x14ac:dyDescent="0.25">
      <c r="A225" s="125"/>
      <c r="B225" s="125"/>
      <c r="C225" s="125"/>
      <c r="D225" s="125"/>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c r="AC225" s="125"/>
      <c r="AD225" s="125"/>
      <c r="AE225" s="125"/>
      <c r="AF225" s="125"/>
      <c r="AG225" s="125"/>
      <c r="AH225" s="125"/>
      <c r="AI225" s="125"/>
      <c r="AJ225" s="125"/>
      <c r="AK225" s="125"/>
      <c r="AL225" s="125"/>
      <c r="AM225" s="125"/>
      <c r="AN225" s="125"/>
      <c r="AO225" s="125"/>
    </row>
    <row r="226" spans="1:41" x14ac:dyDescent="0.25">
      <c r="A226" s="125"/>
      <c r="B226" s="125"/>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125"/>
      <c r="AM226" s="125"/>
      <c r="AN226" s="125"/>
      <c r="AO226" s="125"/>
    </row>
    <row r="227" spans="1:41" x14ac:dyDescent="0.25">
      <c r="A227" s="125"/>
      <c r="B227" s="125"/>
      <c r="C227" s="125"/>
      <c r="D227" s="125"/>
      <c r="E227" s="125"/>
      <c r="F227" s="125"/>
      <c r="G227" s="125"/>
      <c r="H227" s="125"/>
      <c r="I227" s="125"/>
      <c r="J227" s="125"/>
      <c r="K227" s="125"/>
      <c r="L227" s="125"/>
      <c r="M227" s="125"/>
      <c r="N227" s="125"/>
      <c r="O227" s="125"/>
      <c r="P227" s="125"/>
      <c r="Q227" s="125"/>
      <c r="R227" s="125"/>
      <c r="S227" s="125"/>
      <c r="T227" s="125"/>
      <c r="U227" s="125"/>
      <c r="V227" s="125"/>
      <c r="W227" s="125"/>
      <c r="X227" s="125"/>
      <c r="Y227" s="125"/>
      <c r="Z227" s="125"/>
      <c r="AA227" s="125"/>
      <c r="AB227" s="125"/>
      <c r="AC227" s="125"/>
      <c r="AD227" s="125"/>
      <c r="AE227" s="125"/>
      <c r="AF227" s="125"/>
      <c r="AG227" s="125"/>
      <c r="AH227" s="125"/>
      <c r="AI227" s="125"/>
      <c r="AJ227" s="125"/>
      <c r="AK227" s="125"/>
      <c r="AL227" s="125"/>
      <c r="AM227" s="125"/>
      <c r="AN227" s="125"/>
      <c r="AO227" s="125"/>
    </row>
    <row r="228" spans="1:41" x14ac:dyDescent="0.25">
      <c r="A228" s="125"/>
      <c r="B228" s="125"/>
      <c r="C228" s="125"/>
      <c r="D228" s="125"/>
      <c r="E228" s="125"/>
      <c r="F228" s="125"/>
      <c r="G228" s="125"/>
      <c r="H228" s="125"/>
      <c r="I228" s="125"/>
      <c r="J228" s="125"/>
      <c r="K228" s="125"/>
      <c r="L228" s="125"/>
      <c r="M228" s="125"/>
      <c r="N228" s="125"/>
      <c r="O228" s="125"/>
      <c r="P228" s="125"/>
      <c r="Q228" s="125"/>
      <c r="R228" s="125"/>
      <c r="S228" s="125"/>
      <c r="T228" s="125"/>
      <c r="U228" s="125"/>
      <c r="V228" s="125"/>
      <c r="W228" s="125"/>
      <c r="X228" s="125"/>
      <c r="Y228" s="125"/>
      <c r="Z228" s="125"/>
      <c r="AA228" s="125"/>
      <c r="AB228" s="125"/>
      <c r="AC228" s="125"/>
      <c r="AD228" s="125"/>
      <c r="AE228" s="125"/>
      <c r="AF228" s="125"/>
      <c r="AG228" s="125"/>
      <c r="AH228" s="125"/>
      <c r="AI228" s="125"/>
      <c r="AJ228" s="125"/>
      <c r="AK228" s="125"/>
      <c r="AL228" s="125"/>
      <c r="AM228" s="125"/>
      <c r="AN228" s="125"/>
      <c r="AO228" s="125"/>
    </row>
    <row r="229" spans="1:41" x14ac:dyDescent="0.25">
      <c r="A229" s="125"/>
      <c r="B229" s="125"/>
      <c r="C229" s="125"/>
      <c r="D229" s="125"/>
      <c r="E229" s="125"/>
      <c r="F229" s="125"/>
      <c r="G229" s="125"/>
      <c r="H229" s="125"/>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5"/>
      <c r="AK229" s="125"/>
      <c r="AL229" s="125"/>
      <c r="AM229" s="125"/>
      <c r="AN229" s="125"/>
      <c r="AO229" s="125"/>
    </row>
    <row r="230" spans="1:41" x14ac:dyDescent="0.25">
      <c r="A230" s="125"/>
      <c r="B230" s="125"/>
      <c r="C230" s="125"/>
      <c r="D230" s="125"/>
      <c r="E230" s="125"/>
      <c r="F230" s="125"/>
      <c r="G230" s="125"/>
      <c r="H230" s="125"/>
      <c r="I230" s="125"/>
      <c r="J230" s="125"/>
      <c r="K230" s="125"/>
      <c r="L230" s="125"/>
      <c r="M230" s="125"/>
      <c r="N230" s="125"/>
      <c r="O230" s="125"/>
      <c r="P230" s="125"/>
      <c r="Q230" s="125"/>
      <c r="R230" s="125"/>
      <c r="S230" s="125"/>
      <c r="T230" s="125"/>
      <c r="U230" s="125"/>
      <c r="V230" s="125"/>
      <c r="W230" s="125"/>
      <c r="X230" s="125"/>
      <c r="Y230" s="125"/>
      <c r="Z230" s="125"/>
      <c r="AA230" s="125"/>
      <c r="AB230" s="125"/>
      <c r="AC230" s="125"/>
      <c r="AD230" s="125"/>
      <c r="AE230" s="125"/>
      <c r="AF230" s="125"/>
      <c r="AG230" s="125"/>
      <c r="AH230" s="125"/>
      <c r="AI230" s="125"/>
      <c r="AJ230" s="125"/>
      <c r="AK230" s="125"/>
      <c r="AL230" s="125"/>
      <c r="AM230" s="125"/>
      <c r="AN230" s="125"/>
      <c r="AO230" s="125"/>
    </row>
    <row r="231" spans="1:41" x14ac:dyDescent="0.25">
      <c r="A231" s="125"/>
      <c r="B231" s="125"/>
      <c r="C231" s="125"/>
      <c r="D231" s="125"/>
      <c r="E231" s="125"/>
      <c r="F231" s="125"/>
      <c r="G231" s="125"/>
      <c r="H231" s="125"/>
      <c r="I231" s="125"/>
      <c r="J231" s="125"/>
      <c r="K231" s="125"/>
      <c r="L231" s="125"/>
      <c r="M231" s="125"/>
      <c r="N231" s="125"/>
      <c r="O231" s="125"/>
      <c r="P231" s="125"/>
      <c r="Q231" s="125"/>
      <c r="R231" s="125"/>
      <c r="S231" s="125"/>
      <c r="T231" s="125"/>
      <c r="U231" s="125"/>
      <c r="V231" s="125"/>
      <c r="W231" s="125"/>
      <c r="X231" s="125"/>
      <c r="Y231" s="125"/>
      <c r="Z231" s="125"/>
      <c r="AA231" s="125"/>
      <c r="AB231" s="125"/>
      <c r="AC231" s="125"/>
      <c r="AD231" s="125"/>
      <c r="AE231" s="125"/>
      <c r="AF231" s="125"/>
      <c r="AG231" s="125"/>
      <c r="AH231" s="125"/>
      <c r="AI231" s="125"/>
      <c r="AJ231" s="125"/>
      <c r="AK231" s="125"/>
      <c r="AL231" s="125"/>
      <c r="AM231" s="125"/>
      <c r="AN231" s="125"/>
      <c r="AO231" s="125"/>
    </row>
    <row r="232" spans="1:41" x14ac:dyDescent="0.25">
      <c r="A232" s="125"/>
      <c r="B232" s="125"/>
      <c r="C232" s="125"/>
      <c r="D232" s="125"/>
      <c r="E232" s="125"/>
      <c r="F232" s="125"/>
      <c r="G232" s="125"/>
      <c r="H232" s="125"/>
      <c r="I232" s="125"/>
      <c r="J232" s="125"/>
      <c r="K232" s="125"/>
      <c r="L232" s="125"/>
      <c r="M232" s="125"/>
      <c r="N232" s="125"/>
      <c r="O232" s="125"/>
      <c r="P232" s="125"/>
      <c r="Q232" s="125"/>
      <c r="R232" s="125"/>
      <c r="S232" s="125"/>
      <c r="T232" s="125"/>
      <c r="U232" s="125"/>
      <c r="V232" s="125"/>
      <c r="W232" s="125"/>
      <c r="X232" s="125"/>
      <c r="Y232" s="125"/>
      <c r="Z232" s="125"/>
      <c r="AA232" s="125"/>
      <c r="AB232" s="125"/>
      <c r="AC232" s="125"/>
      <c r="AD232" s="125"/>
      <c r="AE232" s="125"/>
      <c r="AF232" s="125"/>
      <c r="AG232" s="125"/>
      <c r="AH232" s="125"/>
      <c r="AI232" s="125"/>
      <c r="AJ232" s="125"/>
      <c r="AK232" s="125"/>
      <c r="AL232" s="125"/>
      <c r="AM232" s="125"/>
      <c r="AN232" s="125"/>
      <c r="AO232" s="125"/>
    </row>
    <row r="233" spans="1:41" x14ac:dyDescent="0.25">
      <c r="A233" s="125"/>
      <c r="B233" s="125"/>
      <c r="C233" s="125"/>
      <c r="D233" s="125"/>
      <c r="E233" s="125"/>
      <c r="F233" s="125"/>
      <c r="G233" s="125"/>
      <c r="H233" s="125"/>
      <c r="I233" s="125"/>
      <c r="J233" s="125"/>
      <c r="K233" s="125"/>
      <c r="L233" s="125"/>
      <c r="M233" s="125"/>
      <c r="N233" s="125"/>
      <c r="O233" s="125"/>
      <c r="P233" s="125"/>
      <c r="Q233" s="125"/>
      <c r="R233" s="125"/>
      <c r="S233" s="125"/>
      <c r="T233" s="125"/>
      <c r="U233" s="125"/>
      <c r="V233" s="125"/>
      <c r="W233" s="125"/>
      <c r="X233" s="125"/>
      <c r="Y233" s="125"/>
      <c r="Z233" s="125"/>
      <c r="AA233" s="125"/>
      <c r="AB233" s="125"/>
      <c r="AC233" s="125"/>
      <c r="AD233" s="125"/>
      <c r="AE233" s="125"/>
      <c r="AF233" s="125"/>
      <c r="AG233" s="125"/>
      <c r="AH233" s="125"/>
      <c r="AI233" s="125"/>
      <c r="AJ233" s="125"/>
      <c r="AK233" s="125"/>
      <c r="AL233" s="125"/>
      <c r="AM233" s="125"/>
      <c r="AN233" s="125"/>
      <c r="AO233" s="125"/>
    </row>
    <row r="234" spans="1:41" x14ac:dyDescent="0.25">
      <c r="A234" s="125"/>
      <c r="B234" s="125"/>
      <c r="C234" s="125"/>
      <c r="D234" s="125"/>
      <c r="E234" s="125"/>
      <c r="F234" s="125"/>
      <c r="G234" s="125"/>
      <c r="H234" s="125"/>
      <c r="I234" s="125"/>
      <c r="J234" s="125"/>
      <c r="K234" s="125"/>
      <c r="L234" s="125"/>
      <c r="M234" s="125"/>
      <c r="N234" s="125"/>
      <c r="O234" s="125"/>
      <c r="P234" s="125"/>
      <c r="Q234" s="125"/>
      <c r="R234" s="125"/>
      <c r="S234" s="125"/>
      <c r="T234" s="125"/>
      <c r="U234" s="125"/>
      <c r="V234" s="125"/>
      <c r="W234" s="125"/>
      <c r="X234" s="125"/>
      <c r="Y234" s="125"/>
      <c r="Z234" s="125"/>
      <c r="AA234" s="125"/>
      <c r="AB234" s="125"/>
      <c r="AC234" s="125"/>
      <c r="AD234" s="125"/>
      <c r="AE234" s="125"/>
      <c r="AF234" s="125"/>
      <c r="AG234" s="125"/>
      <c r="AH234" s="125"/>
      <c r="AI234" s="125"/>
      <c r="AJ234" s="125"/>
      <c r="AK234" s="125"/>
      <c r="AL234" s="125"/>
      <c r="AM234" s="125"/>
      <c r="AN234" s="125"/>
      <c r="AO234" s="125"/>
    </row>
    <row r="235" spans="1:41" x14ac:dyDescent="0.25">
      <c r="A235" s="125"/>
      <c r="B235" s="125"/>
      <c r="C235" s="125"/>
      <c r="D235" s="125"/>
      <c r="E235" s="125"/>
      <c r="F235" s="125"/>
      <c r="G235" s="125"/>
      <c r="H235" s="125"/>
      <c r="I235" s="125"/>
      <c r="J235" s="125"/>
      <c r="K235" s="125"/>
      <c r="L235" s="125"/>
      <c r="M235" s="125"/>
      <c r="N235" s="125"/>
      <c r="O235" s="125"/>
      <c r="P235" s="125"/>
      <c r="Q235" s="125"/>
      <c r="R235" s="125"/>
      <c r="S235" s="125"/>
      <c r="T235" s="125"/>
      <c r="U235" s="125"/>
      <c r="V235" s="125"/>
      <c r="W235" s="125"/>
      <c r="X235" s="125"/>
      <c r="Y235" s="125"/>
      <c r="Z235" s="125"/>
      <c r="AA235" s="125"/>
      <c r="AB235" s="125"/>
      <c r="AC235" s="125"/>
      <c r="AD235" s="125"/>
      <c r="AE235" s="125"/>
      <c r="AF235" s="125"/>
      <c r="AG235" s="125"/>
      <c r="AH235" s="125"/>
      <c r="AI235" s="125"/>
      <c r="AJ235" s="125"/>
      <c r="AK235" s="125"/>
      <c r="AL235" s="125"/>
      <c r="AM235" s="125"/>
      <c r="AN235" s="125"/>
      <c r="AO235" s="125"/>
    </row>
    <row r="236" spans="1:41" x14ac:dyDescent="0.25">
      <c r="A236" s="125"/>
      <c r="B236" s="125"/>
      <c r="C236" s="125"/>
      <c r="D236" s="125"/>
      <c r="E236" s="125"/>
      <c r="F236" s="125"/>
      <c r="G236" s="125"/>
      <c r="H236" s="125"/>
      <c r="I236" s="125"/>
      <c r="J236" s="125"/>
      <c r="K236" s="125"/>
      <c r="L236" s="125"/>
      <c r="M236" s="125"/>
      <c r="N236" s="125"/>
      <c r="O236" s="125"/>
      <c r="P236" s="125"/>
      <c r="Q236" s="125"/>
      <c r="R236" s="125"/>
      <c r="S236" s="125"/>
      <c r="T236" s="125"/>
      <c r="U236" s="125"/>
      <c r="V236" s="125"/>
      <c r="W236" s="125"/>
      <c r="X236" s="125"/>
      <c r="Y236" s="125"/>
      <c r="Z236" s="125"/>
      <c r="AA236" s="125"/>
      <c r="AB236" s="125"/>
      <c r="AC236" s="125"/>
      <c r="AD236" s="125"/>
      <c r="AE236" s="125"/>
      <c r="AF236" s="125"/>
      <c r="AG236" s="125"/>
      <c r="AH236" s="125"/>
      <c r="AI236" s="125"/>
      <c r="AJ236" s="125"/>
      <c r="AK236" s="125"/>
      <c r="AL236" s="125"/>
      <c r="AM236" s="125"/>
      <c r="AN236" s="125"/>
      <c r="AO236" s="125"/>
    </row>
    <row r="237" spans="1:41" x14ac:dyDescent="0.25">
      <c r="A237" s="125"/>
      <c r="B237" s="125"/>
      <c r="C237" s="125"/>
      <c r="D237" s="125"/>
      <c r="E237" s="125"/>
      <c r="F237" s="125"/>
      <c r="G237" s="125"/>
      <c r="H237" s="125"/>
      <c r="I237" s="125"/>
      <c r="J237" s="125"/>
      <c r="K237" s="125"/>
      <c r="L237" s="125"/>
      <c r="M237" s="125"/>
      <c r="N237" s="125"/>
      <c r="O237" s="125"/>
      <c r="P237" s="125"/>
      <c r="Q237" s="125"/>
      <c r="R237" s="125"/>
      <c r="S237" s="125"/>
      <c r="T237" s="125"/>
      <c r="U237" s="125"/>
      <c r="V237" s="125"/>
      <c r="W237" s="125"/>
      <c r="X237" s="125"/>
      <c r="Y237" s="125"/>
      <c r="Z237" s="125"/>
      <c r="AA237" s="125"/>
      <c r="AB237" s="125"/>
      <c r="AC237" s="125"/>
      <c r="AD237" s="125"/>
      <c r="AE237" s="125"/>
      <c r="AF237" s="125"/>
      <c r="AG237" s="125"/>
      <c r="AH237" s="125"/>
      <c r="AI237" s="125"/>
      <c r="AJ237" s="125"/>
      <c r="AK237" s="125"/>
      <c r="AL237" s="125"/>
      <c r="AM237" s="125"/>
      <c r="AN237" s="125"/>
      <c r="AO237" s="125"/>
    </row>
    <row r="238" spans="1:41" x14ac:dyDescent="0.25">
      <c r="A238" s="125"/>
      <c r="B238" s="125"/>
      <c r="C238" s="125"/>
      <c r="D238" s="125"/>
      <c r="E238" s="125"/>
      <c r="F238" s="125"/>
      <c r="G238" s="125"/>
      <c r="H238" s="125"/>
      <c r="I238" s="125"/>
      <c r="J238" s="125"/>
      <c r="K238" s="125"/>
      <c r="L238" s="125"/>
      <c r="M238" s="125"/>
      <c r="N238" s="125"/>
      <c r="O238" s="125"/>
      <c r="P238" s="125"/>
      <c r="Q238" s="125"/>
      <c r="R238" s="125"/>
      <c r="S238" s="125"/>
      <c r="T238" s="125"/>
      <c r="U238" s="125"/>
      <c r="V238" s="125"/>
      <c r="W238" s="125"/>
      <c r="X238" s="125"/>
      <c r="Y238" s="125"/>
      <c r="Z238" s="125"/>
      <c r="AA238" s="125"/>
      <c r="AB238" s="125"/>
      <c r="AC238" s="125"/>
      <c r="AD238" s="125"/>
      <c r="AE238" s="125"/>
      <c r="AF238" s="125"/>
      <c r="AG238" s="125"/>
      <c r="AH238" s="125"/>
      <c r="AI238" s="125"/>
      <c r="AJ238" s="125"/>
      <c r="AK238" s="125"/>
      <c r="AL238" s="125"/>
      <c r="AM238" s="125"/>
      <c r="AN238" s="125"/>
      <c r="AO238" s="125"/>
    </row>
    <row r="239" spans="1:41" x14ac:dyDescent="0.25">
      <c r="A239" s="125"/>
      <c r="B239" s="125"/>
      <c r="C239" s="125"/>
      <c r="D239" s="125"/>
      <c r="E239" s="125"/>
      <c r="F239" s="125"/>
      <c r="G239" s="125"/>
      <c r="H239" s="125"/>
      <c r="I239" s="125"/>
      <c r="J239" s="125"/>
      <c r="K239" s="125"/>
      <c r="L239" s="125"/>
      <c r="M239" s="125"/>
      <c r="N239" s="125"/>
      <c r="O239" s="125"/>
      <c r="P239" s="125"/>
      <c r="Q239" s="125"/>
      <c r="R239" s="125"/>
      <c r="S239" s="125"/>
      <c r="T239" s="125"/>
      <c r="U239" s="125"/>
      <c r="V239" s="125"/>
      <c r="W239" s="125"/>
      <c r="X239" s="125"/>
      <c r="Y239" s="125"/>
      <c r="Z239" s="125"/>
      <c r="AA239" s="125"/>
      <c r="AB239" s="125"/>
      <c r="AC239" s="125"/>
      <c r="AD239" s="125"/>
      <c r="AE239" s="125"/>
      <c r="AF239" s="125"/>
      <c r="AG239" s="125"/>
      <c r="AH239" s="125"/>
      <c r="AI239" s="125"/>
      <c r="AJ239" s="125"/>
      <c r="AK239" s="125"/>
      <c r="AL239" s="125"/>
      <c r="AM239" s="125"/>
      <c r="AN239" s="125"/>
      <c r="AO239" s="125"/>
    </row>
    <row r="240" spans="1:41" x14ac:dyDescent="0.25">
      <c r="A240" s="125"/>
      <c r="B240" s="125"/>
      <c r="C240" s="125"/>
      <c r="D240" s="125"/>
      <c r="E240" s="125"/>
      <c r="F240" s="125"/>
      <c r="G240" s="125"/>
      <c r="H240" s="125"/>
      <c r="I240" s="125"/>
      <c r="J240" s="125"/>
      <c r="K240" s="125"/>
      <c r="L240" s="125"/>
      <c r="M240" s="125"/>
      <c r="N240" s="125"/>
      <c r="O240" s="125"/>
      <c r="P240" s="125"/>
      <c r="Q240" s="125"/>
      <c r="R240" s="125"/>
      <c r="S240" s="125"/>
      <c r="T240" s="125"/>
      <c r="U240" s="125"/>
      <c r="V240" s="125"/>
      <c r="W240" s="125"/>
      <c r="X240" s="125"/>
      <c r="Y240" s="125"/>
      <c r="Z240" s="125"/>
      <c r="AA240" s="125"/>
      <c r="AB240" s="125"/>
      <c r="AC240" s="125"/>
      <c r="AD240" s="125"/>
      <c r="AE240" s="125"/>
      <c r="AF240" s="125"/>
      <c r="AG240" s="125"/>
      <c r="AH240" s="125"/>
      <c r="AI240" s="125"/>
      <c r="AJ240" s="125"/>
      <c r="AK240" s="125"/>
      <c r="AL240" s="125"/>
      <c r="AM240" s="125"/>
      <c r="AN240" s="125"/>
      <c r="AO240" s="125"/>
    </row>
    <row r="241" spans="1:41" x14ac:dyDescent="0.25">
      <c r="A241" s="125"/>
      <c r="B241" s="125"/>
      <c r="C241" s="125"/>
      <c r="D241" s="125"/>
      <c r="E241" s="125"/>
      <c r="F241" s="125"/>
      <c r="G241" s="125"/>
      <c r="H241" s="125"/>
      <c r="I241" s="125"/>
      <c r="J241" s="125"/>
      <c r="K241" s="125"/>
      <c r="L241" s="125"/>
      <c r="M241" s="125"/>
      <c r="N241" s="125"/>
      <c r="O241" s="125"/>
      <c r="P241" s="125"/>
      <c r="Q241" s="125"/>
      <c r="R241" s="125"/>
      <c r="S241" s="125"/>
      <c r="T241" s="125"/>
      <c r="U241" s="125"/>
      <c r="V241" s="125"/>
      <c r="W241" s="125"/>
      <c r="X241" s="125"/>
      <c r="Y241" s="125"/>
      <c r="Z241" s="125"/>
      <c r="AA241" s="125"/>
      <c r="AB241" s="125"/>
      <c r="AC241" s="125"/>
      <c r="AD241" s="125"/>
      <c r="AE241" s="125"/>
      <c r="AF241" s="125"/>
      <c r="AG241" s="125"/>
      <c r="AH241" s="125"/>
      <c r="AI241" s="125"/>
      <c r="AJ241" s="125"/>
      <c r="AK241" s="125"/>
      <c r="AL241" s="125"/>
      <c r="AM241" s="125"/>
      <c r="AN241" s="125"/>
      <c r="AO241" s="125"/>
    </row>
    <row r="242" spans="1:41" x14ac:dyDescent="0.25">
      <c r="A242" s="125"/>
      <c r="B242" s="125"/>
      <c r="C242" s="125"/>
      <c r="D242" s="125"/>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25"/>
      <c r="AC242" s="125"/>
      <c r="AD242" s="125"/>
      <c r="AE242" s="125"/>
      <c r="AF242" s="125"/>
      <c r="AG242" s="125"/>
      <c r="AH242" s="125"/>
      <c r="AI242" s="125"/>
      <c r="AJ242" s="125"/>
      <c r="AK242" s="125"/>
      <c r="AL242" s="125"/>
      <c r="AM242" s="125"/>
      <c r="AN242" s="125"/>
      <c r="AO242" s="125"/>
    </row>
    <row r="243" spans="1:41" x14ac:dyDescent="0.25">
      <c r="A243" s="125"/>
      <c r="B243" s="125"/>
      <c r="C243" s="125"/>
      <c r="D243" s="125"/>
      <c r="E243" s="125"/>
      <c r="F243" s="125"/>
      <c r="G243" s="125"/>
      <c r="H243" s="125"/>
      <c r="I243" s="125"/>
      <c r="J243" s="125"/>
      <c r="K243" s="125"/>
      <c r="L243" s="125"/>
      <c r="M243" s="125"/>
      <c r="N243" s="125"/>
      <c r="O243" s="125"/>
      <c r="P243" s="125"/>
      <c r="Q243" s="125"/>
      <c r="R243" s="125"/>
      <c r="S243" s="125"/>
      <c r="T243" s="125"/>
      <c r="U243" s="125"/>
      <c r="V243" s="125"/>
      <c r="W243" s="125"/>
      <c r="X243" s="125"/>
      <c r="Y243" s="125"/>
      <c r="Z243" s="125"/>
      <c r="AA243" s="125"/>
      <c r="AB243" s="125"/>
      <c r="AC243" s="125"/>
      <c r="AD243" s="125"/>
      <c r="AE243" s="125"/>
      <c r="AF243" s="125"/>
      <c r="AG243" s="125"/>
      <c r="AH243" s="125"/>
      <c r="AI243" s="125"/>
      <c r="AJ243" s="125"/>
      <c r="AK243" s="125"/>
      <c r="AL243" s="125"/>
      <c r="AM243" s="125"/>
      <c r="AN243" s="125"/>
      <c r="AO243" s="125"/>
    </row>
    <row r="244" spans="1:41" x14ac:dyDescent="0.25">
      <c r="A244" s="125"/>
      <c r="B244" s="125"/>
      <c r="C244" s="125"/>
      <c r="D244" s="125"/>
      <c r="E244" s="125"/>
      <c r="F244" s="125"/>
      <c r="G244" s="125"/>
      <c r="H244" s="125"/>
      <c r="I244" s="125"/>
      <c r="J244" s="125"/>
      <c r="K244" s="125"/>
      <c r="L244" s="125"/>
      <c r="M244" s="125"/>
      <c r="N244" s="125"/>
      <c r="O244" s="125"/>
      <c r="P244" s="125"/>
      <c r="Q244" s="125"/>
      <c r="R244" s="125"/>
      <c r="S244" s="125"/>
      <c r="T244" s="125"/>
      <c r="U244" s="125"/>
      <c r="V244" s="125"/>
      <c r="W244" s="125"/>
      <c r="X244" s="125"/>
      <c r="Y244" s="125"/>
      <c r="Z244" s="125"/>
      <c r="AA244" s="125"/>
      <c r="AB244" s="125"/>
      <c r="AC244" s="125"/>
      <c r="AD244" s="125"/>
      <c r="AE244" s="125"/>
      <c r="AF244" s="125"/>
      <c r="AG244" s="125"/>
      <c r="AH244" s="125"/>
      <c r="AI244" s="125"/>
      <c r="AJ244" s="125"/>
      <c r="AK244" s="125"/>
      <c r="AL244" s="125"/>
      <c r="AM244" s="125"/>
      <c r="AN244" s="125"/>
      <c r="AO244" s="125"/>
    </row>
    <row r="245" spans="1:41" x14ac:dyDescent="0.25">
      <c r="A245" s="125"/>
      <c r="B245" s="125"/>
      <c r="C245" s="125"/>
      <c r="D245" s="125"/>
      <c r="E245" s="125"/>
      <c r="F245" s="125"/>
      <c r="G245" s="125"/>
      <c r="H245" s="125"/>
      <c r="I245" s="125"/>
      <c r="J245" s="125"/>
      <c r="K245" s="125"/>
      <c r="L245" s="125"/>
      <c r="M245" s="125"/>
      <c r="N245" s="125"/>
      <c r="O245" s="125"/>
      <c r="P245" s="125"/>
      <c r="Q245" s="125"/>
      <c r="R245" s="125"/>
      <c r="S245" s="125"/>
      <c r="T245" s="125"/>
      <c r="U245" s="125"/>
      <c r="V245" s="125"/>
      <c r="W245" s="125"/>
      <c r="X245" s="125"/>
      <c r="Y245" s="125"/>
      <c r="Z245" s="125"/>
      <c r="AA245" s="125"/>
      <c r="AB245" s="125"/>
      <c r="AC245" s="125"/>
      <c r="AD245" s="125"/>
      <c r="AE245" s="125"/>
      <c r="AF245" s="125"/>
      <c r="AG245" s="125"/>
      <c r="AH245" s="125"/>
      <c r="AI245" s="125"/>
      <c r="AJ245" s="125"/>
      <c r="AK245" s="125"/>
      <c r="AL245" s="125"/>
      <c r="AM245" s="125"/>
      <c r="AN245" s="125"/>
      <c r="AO245" s="125"/>
    </row>
    <row r="246" spans="1:41" x14ac:dyDescent="0.25">
      <c r="A246" s="125"/>
      <c r="B246" s="125"/>
      <c r="C246" s="125"/>
      <c r="D246" s="125"/>
      <c r="E246" s="125"/>
      <c r="F246" s="125"/>
      <c r="G246" s="125"/>
      <c r="H246" s="125"/>
      <c r="I246" s="125"/>
      <c r="J246" s="125"/>
      <c r="K246" s="125"/>
      <c r="L246" s="125"/>
      <c r="M246" s="125"/>
      <c r="N246" s="125"/>
      <c r="O246" s="125"/>
      <c r="P246" s="125"/>
      <c r="Q246" s="125"/>
      <c r="R246" s="125"/>
      <c r="S246" s="125"/>
      <c r="T246" s="125"/>
      <c r="U246" s="125"/>
      <c r="V246" s="125"/>
      <c r="W246" s="125"/>
      <c r="X246" s="125"/>
      <c r="Y246" s="125"/>
      <c r="Z246" s="125"/>
      <c r="AA246" s="125"/>
      <c r="AB246" s="125"/>
      <c r="AC246" s="125"/>
      <c r="AD246" s="125"/>
      <c r="AE246" s="125"/>
      <c r="AF246" s="125"/>
      <c r="AG246" s="125"/>
      <c r="AH246" s="125"/>
      <c r="AI246" s="125"/>
      <c r="AJ246" s="125"/>
      <c r="AK246" s="125"/>
      <c r="AL246" s="125"/>
      <c r="AM246" s="125"/>
      <c r="AN246" s="125"/>
      <c r="AO246" s="125"/>
    </row>
    <row r="247" spans="1:41" x14ac:dyDescent="0.25">
      <c r="A247" s="125"/>
      <c r="B247" s="125"/>
      <c r="C247" s="125"/>
      <c r="D247" s="125"/>
      <c r="E247" s="125"/>
      <c r="F247" s="125"/>
      <c r="G247" s="125"/>
      <c r="H247" s="125"/>
      <c r="I247" s="125"/>
      <c r="J247" s="125"/>
      <c r="K247" s="125"/>
      <c r="L247" s="125"/>
      <c r="M247" s="125"/>
      <c r="N247" s="125"/>
      <c r="O247" s="125"/>
      <c r="P247" s="125"/>
      <c r="Q247" s="125"/>
      <c r="R247" s="125"/>
      <c r="S247" s="125"/>
      <c r="T247" s="125"/>
      <c r="U247" s="125"/>
      <c r="V247" s="125"/>
      <c r="W247" s="125"/>
      <c r="X247" s="125"/>
      <c r="Y247" s="125"/>
      <c r="Z247" s="125"/>
      <c r="AA247" s="125"/>
      <c r="AB247" s="125"/>
      <c r="AC247" s="125"/>
      <c r="AD247" s="125"/>
      <c r="AE247" s="125"/>
      <c r="AF247" s="125"/>
      <c r="AG247" s="125"/>
      <c r="AH247" s="125"/>
      <c r="AI247" s="125"/>
      <c r="AJ247" s="125"/>
      <c r="AK247" s="125"/>
      <c r="AL247" s="125"/>
      <c r="AM247" s="125"/>
      <c r="AN247" s="125"/>
      <c r="AO247" s="125"/>
    </row>
    <row r="248" spans="1:41" x14ac:dyDescent="0.25">
      <c r="A248" s="125"/>
      <c r="B248" s="125"/>
      <c r="C248" s="125"/>
      <c r="D248" s="125"/>
      <c r="E248" s="125"/>
      <c r="F248" s="125"/>
      <c r="G248" s="125"/>
      <c r="H248" s="125"/>
      <c r="I248" s="125"/>
      <c r="J248" s="125"/>
      <c r="K248" s="125"/>
      <c r="L248" s="125"/>
      <c r="M248" s="125"/>
      <c r="N248" s="125"/>
      <c r="O248" s="125"/>
      <c r="P248" s="125"/>
      <c r="Q248" s="125"/>
      <c r="R248" s="125"/>
      <c r="S248" s="125"/>
      <c r="T248" s="125"/>
      <c r="U248" s="125"/>
      <c r="V248" s="125"/>
      <c r="W248" s="125"/>
      <c r="X248" s="125"/>
      <c r="Y248" s="125"/>
      <c r="Z248" s="125"/>
      <c r="AA248" s="125"/>
      <c r="AB248" s="125"/>
      <c r="AC248" s="125"/>
      <c r="AD248" s="125"/>
      <c r="AE248" s="125"/>
      <c r="AF248" s="125"/>
      <c r="AG248" s="125"/>
      <c r="AH248" s="125"/>
      <c r="AI248" s="125"/>
      <c r="AJ248" s="125"/>
      <c r="AK248" s="125"/>
      <c r="AL248" s="125"/>
      <c r="AM248" s="125"/>
      <c r="AN248" s="125"/>
      <c r="AO248" s="125"/>
    </row>
    <row r="249" spans="1:41" x14ac:dyDescent="0.25">
      <c r="A249" s="125"/>
      <c r="B249" s="125"/>
      <c r="C249" s="125"/>
      <c r="D249" s="125"/>
      <c r="E249" s="125"/>
      <c r="F249" s="125"/>
      <c r="G249" s="125"/>
      <c r="H249" s="125"/>
      <c r="I249" s="125"/>
      <c r="J249" s="125"/>
      <c r="K249" s="125"/>
      <c r="L249" s="125"/>
      <c r="M249" s="125"/>
      <c r="N249" s="125"/>
      <c r="O249" s="125"/>
      <c r="P249" s="125"/>
      <c r="Q249" s="125"/>
      <c r="R249" s="125"/>
      <c r="S249" s="125"/>
      <c r="T249" s="125"/>
      <c r="U249" s="125"/>
      <c r="V249" s="125"/>
      <c r="W249" s="125"/>
      <c r="X249" s="125"/>
      <c r="Y249" s="125"/>
      <c r="Z249" s="125"/>
      <c r="AA249" s="125"/>
      <c r="AB249" s="125"/>
      <c r="AC249" s="125"/>
      <c r="AD249" s="125"/>
      <c r="AE249" s="125"/>
      <c r="AF249" s="125"/>
      <c r="AG249" s="125"/>
      <c r="AH249" s="125"/>
      <c r="AI249" s="125"/>
      <c r="AJ249" s="125"/>
      <c r="AK249" s="125"/>
      <c r="AL249" s="125"/>
      <c r="AM249" s="125"/>
      <c r="AN249" s="125"/>
      <c r="AO249" s="125"/>
    </row>
    <row r="250" spans="1:41" x14ac:dyDescent="0.25">
      <c r="A250" s="125"/>
      <c r="B250" s="125"/>
      <c r="C250" s="125"/>
      <c r="D250" s="125"/>
      <c r="E250" s="125"/>
      <c r="F250" s="125"/>
      <c r="G250" s="125"/>
      <c r="H250" s="125"/>
      <c r="I250" s="125"/>
      <c r="J250" s="125"/>
      <c r="K250" s="125"/>
      <c r="L250" s="125"/>
      <c r="M250" s="125"/>
      <c r="N250" s="125"/>
      <c r="O250" s="125"/>
      <c r="P250" s="125"/>
      <c r="Q250" s="125"/>
      <c r="R250" s="125"/>
      <c r="S250" s="125"/>
      <c r="T250" s="125"/>
      <c r="U250" s="125"/>
      <c r="V250" s="125"/>
      <c r="W250" s="125"/>
      <c r="X250" s="125"/>
      <c r="Y250" s="125"/>
      <c r="Z250" s="125"/>
      <c r="AA250" s="125"/>
      <c r="AB250" s="125"/>
      <c r="AC250" s="125"/>
      <c r="AD250" s="125"/>
      <c r="AE250" s="125"/>
      <c r="AF250" s="125"/>
      <c r="AG250" s="125"/>
      <c r="AH250" s="125"/>
      <c r="AI250" s="125"/>
      <c r="AJ250" s="125"/>
      <c r="AK250" s="125"/>
      <c r="AL250" s="125"/>
      <c r="AM250" s="125"/>
      <c r="AN250" s="125"/>
      <c r="AO250" s="125"/>
    </row>
    <row r="251" spans="1:41" x14ac:dyDescent="0.25">
      <c r="A251" s="125"/>
      <c r="B251" s="125"/>
      <c r="C251" s="125"/>
      <c r="D251" s="125"/>
      <c r="E251" s="125"/>
      <c r="F251" s="125"/>
      <c r="G251" s="125"/>
      <c r="H251" s="125"/>
      <c r="I251" s="125"/>
      <c r="J251" s="125"/>
      <c r="K251" s="125"/>
      <c r="L251" s="125"/>
      <c r="M251" s="125"/>
      <c r="N251" s="125"/>
      <c r="O251" s="125"/>
      <c r="P251" s="125"/>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row>
    <row r="252" spans="1:41" x14ac:dyDescent="0.25">
      <c r="A252" s="125"/>
      <c r="B252" s="125"/>
      <c r="C252" s="125"/>
      <c r="D252" s="125"/>
      <c r="E252" s="125"/>
      <c r="F252" s="125"/>
      <c r="G252" s="125"/>
      <c r="H252" s="125"/>
      <c r="I252" s="125"/>
      <c r="J252" s="125"/>
      <c r="K252" s="125"/>
      <c r="L252" s="125"/>
      <c r="M252" s="125"/>
      <c r="N252" s="125"/>
      <c r="O252" s="125"/>
      <c r="P252" s="125"/>
      <c r="Q252" s="125"/>
      <c r="R252" s="125"/>
      <c r="S252" s="125"/>
      <c r="T252" s="125"/>
      <c r="U252" s="125"/>
      <c r="V252" s="125"/>
      <c r="W252" s="125"/>
      <c r="X252" s="125"/>
      <c r="Y252" s="125"/>
      <c r="Z252" s="125"/>
      <c r="AA252" s="125"/>
      <c r="AB252" s="125"/>
      <c r="AC252" s="125"/>
      <c r="AD252" s="125"/>
      <c r="AE252" s="125"/>
      <c r="AF252" s="125"/>
      <c r="AG252" s="125"/>
      <c r="AH252" s="125"/>
      <c r="AI252" s="125"/>
      <c r="AJ252" s="125"/>
      <c r="AK252" s="125"/>
      <c r="AL252" s="125"/>
      <c r="AM252" s="125"/>
      <c r="AN252" s="125"/>
      <c r="AO252" s="125"/>
    </row>
    <row r="253" spans="1:41" x14ac:dyDescent="0.25">
      <c r="A253" s="125"/>
      <c r="B253" s="125"/>
      <c r="C253" s="125"/>
      <c r="D253" s="125"/>
      <c r="E253" s="125"/>
      <c r="F253" s="125"/>
      <c r="G253" s="125"/>
      <c r="H253" s="125"/>
      <c r="I253" s="125"/>
      <c r="J253" s="125"/>
      <c r="K253" s="125"/>
      <c r="L253" s="125"/>
      <c r="M253" s="125"/>
      <c r="N253" s="125"/>
      <c r="O253" s="125"/>
      <c r="P253" s="125"/>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row>
    <row r="254" spans="1:41" x14ac:dyDescent="0.25">
      <c r="A254" s="125"/>
      <c r="B254" s="125"/>
      <c r="C254" s="125"/>
      <c r="D254" s="125"/>
      <c r="E254" s="125"/>
      <c r="F254" s="125"/>
      <c r="G254" s="125"/>
      <c r="H254" s="125"/>
      <c r="I254" s="125"/>
      <c r="J254" s="125"/>
      <c r="K254" s="125"/>
      <c r="L254" s="125"/>
      <c r="M254" s="125"/>
      <c r="N254" s="125"/>
      <c r="O254" s="125"/>
      <c r="P254" s="125"/>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row>
    <row r="255" spans="1:41" x14ac:dyDescent="0.25">
      <c r="A255" s="125"/>
      <c r="B255" s="125"/>
      <c r="C255" s="125"/>
      <c r="D255" s="125"/>
      <c r="E255" s="125"/>
      <c r="F255" s="125"/>
      <c r="G255" s="125"/>
      <c r="H255" s="125"/>
      <c r="I255" s="125"/>
      <c r="J255" s="125"/>
      <c r="K255" s="125"/>
      <c r="L255" s="125"/>
      <c r="M255" s="125"/>
      <c r="N255" s="125"/>
      <c r="O255" s="125"/>
      <c r="P255" s="125"/>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row>
    <row r="256" spans="1:41" x14ac:dyDescent="0.25">
      <c r="A256" s="125"/>
      <c r="B256" s="125"/>
      <c r="C256" s="125"/>
      <c r="D256" s="125"/>
      <c r="E256" s="125"/>
      <c r="F256" s="125"/>
      <c r="G256" s="125"/>
      <c r="H256" s="125"/>
      <c r="I256" s="125"/>
      <c r="J256" s="125"/>
      <c r="K256" s="125"/>
      <c r="L256" s="125"/>
      <c r="M256" s="125"/>
      <c r="N256" s="125"/>
      <c r="O256" s="125"/>
      <c r="P256" s="125"/>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row>
    <row r="257" spans="1:41" x14ac:dyDescent="0.25">
      <c r="A257" s="125"/>
      <c r="B257" s="125"/>
      <c r="C257" s="125"/>
      <c r="D257" s="125"/>
      <c r="E257" s="125"/>
      <c r="F257" s="125"/>
      <c r="G257" s="125"/>
      <c r="H257" s="125"/>
      <c r="I257" s="125"/>
      <c r="J257" s="125"/>
      <c r="K257" s="125"/>
      <c r="L257" s="125"/>
      <c r="M257" s="125"/>
      <c r="N257" s="125"/>
      <c r="O257" s="125"/>
      <c r="P257" s="125"/>
      <c r="Q257" s="125"/>
      <c r="R257" s="125"/>
      <c r="S257" s="125"/>
      <c r="T257" s="125"/>
      <c r="U257" s="125"/>
      <c r="V257" s="125"/>
      <c r="W257" s="125"/>
      <c r="X257" s="125"/>
      <c r="Y257" s="125"/>
      <c r="Z257" s="125"/>
      <c r="AA257" s="125"/>
      <c r="AB257" s="125"/>
      <c r="AC257" s="125"/>
      <c r="AD257" s="125"/>
      <c r="AE257" s="125"/>
      <c r="AF257" s="125"/>
      <c r="AG257" s="125"/>
      <c r="AH257" s="125"/>
      <c r="AI257" s="125"/>
      <c r="AJ257" s="125"/>
      <c r="AK257" s="125"/>
      <c r="AL257" s="125"/>
      <c r="AM257" s="125"/>
      <c r="AN257" s="125"/>
      <c r="AO257" s="125"/>
    </row>
  </sheetData>
  <pageMargins left="0.7" right="0.7" top="0.75" bottom="0.75" header="0.3" footer="0.3"/>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B34"/>
  <sheetViews>
    <sheetView showGridLines="0" view="pageBreakPreview" zoomScale="85" zoomScaleNormal="100" zoomScaleSheetLayoutView="85" workbookViewId="0">
      <selection activeCell="B10" sqref="B10"/>
    </sheetView>
  </sheetViews>
  <sheetFormatPr defaultRowHeight="15" x14ac:dyDescent="0.25"/>
  <cols>
    <col min="1" max="1" width="27.42578125" customWidth="1"/>
    <col min="2" max="2" width="135.7109375" customWidth="1"/>
  </cols>
  <sheetData>
    <row r="1" spans="1:2" x14ac:dyDescent="0.25">
      <c r="A1" s="65"/>
      <c r="B1" s="65"/>
    </row>
    <row r="2" spans="1:2" x14ac:dyDescent="0.25">
      <c r="A2" s="65"/>
      <c r="B2" s="65"/>
    </row>
    <row r="3" spans="1:2" ht="18.75" x14ac:dyDescent="0.3">
      <c r="A3" s="126" t="s">
        <v>80</v>
      </c>
      <c r="B3" s="127"/>
    </row>
    <row r="4" spans="1:2" ht="32.25" customHeight="1" x14ac:dyDescent="0.25">
      <c r="A4" s="34" t="s">
        <v>92</v>
      </c>
      <c r="B4" s="128" t="s">
        <v>254</v>
      </c>
    </row>
    <row r="5" spans="1:2" x14ac:dyDescent="0.25">
      <c r="A5" s="129" t="s">
        <v>255</v>
      </c>
      <c r="B5" s="116" t="s">
        <v>256</v>
      </c>
    </row>
    <row r="6" spans="1:2" x14ac:dyDescent="0.25">
      <c r="A6" s="129" t="s">
        <v>93</v>
      </c>
      <c r="B6" s="116"/>
    </row>
    <row r="7" spans="1:2" x14ac:dyDescent="0.25">
      <c r="A7" s="134" t="s">
        <v>88</v>
      </c>
      <c r="B7" s="116" t="s">
        <v>257</v>
      </c>
    </row>
    <row r="8" spans="1:2" x14ac:dyDescent="0.25">
      <c r="A8" s="134" t="s">
        <v>89</v>
      </c>
      <c r="B8" s="116" t="s">
        <v>90</v>
      </c>
    </row>
    <row r="9" spans="1:2" ht="27" customHeight="1" x14ac:dyDescent="0.25">
      <c r="A9" s="134" t="s">
        <v>91</v>
      </c>
      <c r="B9" s="130" t="s">
        <v>94</v>
      </c>
    </row>
    <row r="10" spans="1:2" x14ac:dyDescent="0.25">
      <c r="A10" s="117"/>
      <c r="B10" s="117"/>
    </row>
    <row r="11" spans="1:2" ht="18.75" x14ac:dyDescent="0.3">
      <c r="A11" s="119" t="s">
        <v>81</v>
      </c>
      <c r="B11" s="132"/>
    </row>
    <row r="12" spans="1:2" x14ac:dyDescent="0.25">
      <c r="A12" s="118"/>
      <c r="B12" s="118"/>
    </row>
    <row r="13" spans="1:2" x14ac:dyDescent="0.25">
      <c r="A13" s="131" t="s">
        <v>95</v>
      </c>
      <c r="B13" s="116" t="s">
        <v>96</v>
      </c>
    </row>
    <row r="14" spans="1:2" x14ac:dyDescent="0.25">
      <c r="A14" s="131" t="s">
        <v>97</v>
      </c>
      <c r="B14" s="116"/>
    </row>
    <row r="15" spans="1:2" x14ac:dyDescent="0.25">
      <c r="A15" s="133">
        <v>1</v>
      </c>
      <c r="B15" s="116" t="s">
        <v>98</v>
      </c>
    </row>
    <row r="16" spans="1:2" x14ac:dyDescent="0.25">
      <c r="A16" s="133">
        <v>2</v>
      </c>
      <c r="B16" s="116" t="s">
        <v>99</v>
      </c>
    </row>
    <row r="17" spans="1:2" x14ac:dyDescent="0.25">
      <c r="A17" s="133">
        <v>3</v>
      </c>
      <c r="B17" s="116" t="s">
        <v>100</v>
      </c>
    </row>
    <row r="18" spans="1:2" x14ac:dyDescent="0.25">
      <c r="A18" s="133">
        <v>4</v>
      </c>
      <c r="B18" s="287" t="s">
        <v>213</v>
      </c>
    </row>
    <row r="19" spans="1:2" x14ac:dyDescent="0.25">
      <c r="A19" s="133">
        <v>5</v>
      </c>
      <c r="B19" s="116" t="s">
        <v>101</v>
      </c>
    </row>
    <row r="20" spans="1:2" x14ac:dyDescent="0.25">
      <c r="A20" s="133">
        <v>6</v>
      </c>
      <c r="B20" s="116" t="s">
        <v>102</v>
      </c>
    </row>
    <row r="21" spans="1:2" x14ac:dyDescent="0.25">
      <c r="A21" s="133">
        <v>7</v>
      </c>
      <c r="B21" s="116" t="s">
        <v>103</v>
      </c>
    </row>
    <row r="22" spans="1:2" x14ac:dyDescent="0.25">
      <c r="A22" s="133">
        <v>8</v>
      </c>
      <c r="B22" s="116" t="s">
        <v>222</v>
      </c>
    </row>
    <row r="23" spans="1:2" x14ac:dyDescent="0.25">
      <c r="A23" s="65"/>
      <c r="B23" s="65"/>
    </row>
    <row r="24" spans="1:2" x14ac:dyDescent="0.25">
      <c r="A24" s="65"/>
      <c r="B24" s="65"/>
    </row>
    <row r="25" spans="1:2" x14ac:dyDescent="0.25">
      <c r="A25" s="65"/>
      <c r="B25" s="65"/>
    </row>
    <row r="26" spans="1:2" x14ac:dyDescent="0.25">
      <c r="A26" s="65"/>
      <c r="B26" s="65"/>
    </row>
    <row r="27" spans="1:2" x14ac:dyDescent="0.25">
      <c r="A27" s="65"/>
      <c r="B27" s="65"/>
    </row>
    <row r="28" spans="1:2" x14ac:dyDescent="0.25">
      <c r="A28" s="65"/>
      <c r="B28" s="65"/>
    </row>
    <row r="29" spans="1:2" x14ac:dyDescent="0.25">
      <c r="A29" s="65"/>
      <c r="B29" s="65"/>
    </row>
    <row r="30" spans="1:2" x14ac:dyDescent="0.25">
      <c r="A30" s="65"/>
      <c r="B30" s="65"/>
    </row>
    <row r="31" spans="1:2" x14ac:dyDescent="0.25">
      <c r="A31" s="65"/>
      <c r="B31" s="65"/>
    </row>
    <row r="32" spans="1:2" x14ac:dyDescent="0.25">
      <c r="A32" s="65"/>
      <c r="B32" s="65"/>
    </row>
    <row r="33" spans="1:2" x14ac:dyDescent="0.25">
      <c r="A33" s="65"/>
      <c r="B33" s="65"/>
    </row>
    <row r="34" spans="1:2" x14ac:dyDescent="0.25">
      <c r="A34" s="65"/>
      <c r="B34" s="65"/>
    </row>
  </sheetData>
  <pageMargins left="0.7" right="0.7" top="0.75" bottom="0.75"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X75"/>
  <sheetViews>
    <sheetView showGridLines="0" zoomScale="80" zoomScaleNormal="80" workbookViewId="0">
      <selection activeCell="J8" sqref="J8"/>
    </sheetView>
  </sheetViews>
  <sheetFormatPr defaultRowHeight="15" x14ac:dyDescent="0.25"/>
  <cols>
    <col min="1" max="1" width="1.85546875" customWidth="1"/>
    <col min="2" max="2" width="2.85546875" customWidth="1"/>
    <col min="3" max="3" width="12.85546875" customWidth="1"/>
    <col min="4" max="5" width="7.140625" customWidth="1"/>
    <col min="6" max="6" width="28.5703125" customWidth="1"/>
    <col min="7" max="9" width="2.7109375" customWidth="1"/>
    <col min="10" max="10" width="28.5703125" customWidth="1"/>
    <col min="11" max="12" width="1.42578125" customWidth="1"/>
    <col min="13" max="14" width="2.85546875" customWidth="1"/>
    <col min="15" max="15" width="15.140625" customWidth="1"/>
    <col min="17" max="17" width="10.42578125" customWidth="1"/>
    <col min="18" max="18" width="12" bestFit="1" customWidth="1"/>
    <col min="19" max="19" width="13.5703125" bestFit="1" customWidth="1"/>
    <col min="20" max="20" width="12" bestFit="1" customWidth="1"/>
    <col min="21" max="21" width="13.5703125" bestFit="1" customWidth="1"/>
    <col min="22" max="22" width="20" bestFit="1" customWidth="1"/>
    <col min="23" max="23" width="2.85546875" customWidth="1"/>
  </cols>
  <sheetData>
    <row r="1" spans="1:24" ht="17.25" x14ac:dyDescent="0.35">
      <c r="A1" s="36"/>
      <c r="B1" s="36"/>
      <c r="C1" s="36"/>
      <c r="D1" s="36"/>
      <c r="E1" s="36"/>
      <c r="F1" s="36"/>
      <c r="G1" s="36"/>
      <c r="H1" s="36"/>
      <c r="I1" s="36"/>
      <c r="J1" s="36"/>
      <c r="K1" s="36"/>
      <c r="L1" s="36"/>
      <c r="M1" s="36"/>
      <c r="N1" s="36"/>
      <c r="O1" s="36"/>
      <c r="P1" s="36"/>
      <c r="Q1" s="36"/>
      <c r="R1" s="36"/>
      <c r="S1" s="36"/>
      <c r="T1" s="36"/>
      <c r="U1" s="36"/>
      <c r="V1" s="36"/>
      <c r="W1" s="36"/>
      <c r="X1" s="36"/>
    </row>
    <row r="2" spans="1:24" ht="18" thickBot="1" x14ac:dyDescent="0.4">
      <c r="A2" s="36"/>
      <c r="B2" s="36"/>
      <c r="C2" s="36"/>
      <c r="D2" s="36"/>
      <c r="E2" s="36"/>
      <c r="F2" s="36"/>
      <c r="G2" s="36"/>
      <c r="H2" s="36"/>
      <c r="I2" s="36"/>
      <c r="J2" s="36"/>
      <c r="K2" s="36"/>
      <c r="L2" s="36"/>
      <c r="M2" s="36"/>
      <c r="N2" s="36"/>
      <c r="O2" s="36"/>
      <c r="P2" s="36"/>
      <c r="Q2" s="36"/>
      <c r="R2" s="36"/>
      <c r="S2" s="36"/>
      <c r="T2" s="36"/>
      <c r="U2" s="36"/>
      <c r="V2" s="36"/>
      <c r="W2" s="36"/>
      <c r="X2" s="36"/>
    </row>
    <row r="3" spans="1:24" ht="17.25" x14ac:dyDescent="0.35">
      <c r="A3" s="36"/>
      <c r="B3" s="258"/>
      <c r="C3" s="260"/>
      <c r="D3" s="47"/>
      <c r="E3" s="47"/>
      <c r="F3" s="47"/>
      <c r="G3" s="47"/>
      <c r="H3" s="47"/>
      <c r="I3" s="47"/>
      <c r="J3" s="47"/>
      <c r="K3" s="47"/>
      <c r="L3" s="48"/>
      <c r="M3" s="35"/>
      <c r="N3" s="54"/>
      <c r="O3" s="55"/>
      <c r="P3" s="55"/>
      <c r="Q3" s="55"/>
      <c r="R3" s="55"/>
      <c r="S3" s="55"/>
      <c r="T3" s="55"/>
      <c r="U3" s="55"/>
      <c r="V3" s="55"/>
      <c r="W3" s="56"/>
      <c r="X3" s="36"/>
    </row>
    <row r="4" spans="1:24" ht="17.25" x14ac:dyDescent="0.35">
      <c r="A4" s="36"/>
      <c r="B4" s="49"/>
      <c r="C4" s="259" t="s">
        <v>207</v>
      </c>
      <c r="D4" s="35"/>
      <c r="E4" s="35"/>
      <c r="F4" s="35"/>
      <c r="G4" s="35"/>
      <c r="H4" s="35"/>
      <c r="I4" s="35"/>
      <c r="J4" s="35"/>
      <c r="K4" s="35"/>
      <c r="L4" s="50"/>
      <c r="M4" s="35"/>
      <c r="N4" s="57"/>
      <c r="O4" s="379" t="s">
        <v>236</v>
      </c>
      <c r="P4" s="380"/>
      <c r="Q4" s="380"/>
      <c r="R4" s="380"/>
      <c r="S4" s="380"/>
      <c r="T4" s="380"/>
      <c r="U4" s="380"/>
      <c r="V4" s="381"/>
      <c r="W4" s="58"/>
      <c r="X4" s="36"/>
    </row>
    <row r="5" spans="1:24" ht="17.25" x14ac:dyDescent="0.35">
      <c r="A5" s="36"/>
      <c r="B5" s="49"/>
      <c r="C5" s="35"/>
      <c r="D5" s="35"/>
      <c r="E5" s="35"/>
      <c r="F5" s="35"/>
      <c r="G5" s="35"/>
      <c r="H5" s="35"/>
      <c r="I5" s="35"/>
      <c r="J5" s="35"/>
      <c r="K5" s="35"/>
      <c r="L5" s="261"/>
      <c r="M5" s="35"/>
      <c r="N5" s="57"/>
      <c r="O5" s="290"/>
      <c r="P5" s="291"/>
      <c r="Q5" s="291"/>
      <c r="R5" s="382" t="s">
        <v>240</v>
      </c>
      <c r="S5" s="383"/>
      <c r="T5" s="384" t="s">
        <v>241</v>
      </c>
      <c r="U5" s="383"/>
      <c r="V5" s="292" t="s">
        <v>242</v>
      </c>
      <c r="W5" s="58"/>
      <c r="X5" s="36"/>
    </row>
    <row r="6" spans="1:24" ht="19.5" x14ac:dyDescent="0.4">
      <c r="A6" s="36"/>
      <c r="B6" s="49"/>
      <c r="C6" s="35"/>
      <c r="D6" s="35"/>
      <c r="E6" s="35"/>
      <c r="F6" s="343" t="s">
        <v>240</v>
      </c>
      <c r="G6" s="342"/>
      <c r="H6" s="342"/>
      <c r="I6" s="342"/>
      <c r="J6" s="343" t="s">
        <v>241</v>
      </c>
      <c r="K6" s="37"/>
      <c r="L6" s="50"/>
      <c r="M6" s="35"/>
      <c r="N6" s="57"/>
      <c r="O6" s="290"/>
      <c r="P6" s="291"/>
      <c r="Q6" s="291"/>
      <c r="R6" s="293" t="s">
        <v>175</v>
      </c>
      <c r="S6" s="293" t="s">
        <v>243</v>
      </c>
      <c r="T6" s="293" t="s">
        <v>175</v>
      </c>
      <c r="U6" s="293" t="s">
        <v>243</v>
      </c>
      <c r="V6" s="294"/>
      <c r="W6" s="58"/>
      <c r="X6" s="36"/>
    </row>
    <row r="7" spans="1:24" ht="17.25" x14ac:dyDescent="0.35">
      <c r="A7" s="36"/>
      <c r="B7" s="49"/>
      <c r="C7" s="35"/>
      <c r="D7" s="35"/>
      <c r="E7" s="35"/>
      <c r="F7" s="35"/>
      <c r="G7" s="35"/>
      <c r="H7" s="35"/>
      <c r="I7" s="35"/>
      <c r="J7" s="35"/>
      <c r="K7" s="35"/>
      <c r="L7" s="50"/>
      <c r="M7" s="35"/>
      <c r="N7" s="57"/>
      <c r="O7" s="324" t="s">
        <v>204</v>
      </c>
      <c r="P7" s="295"/>
      <c r="Q7" s="295"/>
      <c r="R7" s="296" t="e">
        <f>IFERROR(R8*R9,NA())</f>
        <v>#N/A</v>
      </c>
      <c r="S7" s="297" t="e">
        <f>IF(R7="","",100%)</f>
        <v>#N/A</v>
      </c>
      <c r="T7" s="298" t="e">
        <f>IFERROR(T8*T9,NA())</f>
        <v>#N/A</v>
      </c>
      <c r="U7" s="297" t="e">
        <f>IF(T7="","",100%)</f>
        <v>#N/A</v>
      </c>
      <c r="V7" s="299" t="e">
        <f>IFERROR(T7-R7,NA())</f>
        <v>#N/A</v>
      </c>
      <c r="W7" s="58"/>
      <c r="X7" s="36"/>
    </row>
    <row r="8" spans="1:24" ht="17.25" x14ac:dyDescent="0.35">
      <c r="A8" s="36"/>
      <c r="B8" s="49"/>
      <c r="C8" s="259" t="s">
        <v>46</v>
      </c>
      <c r="D8" s="35"/>
      <c r="E8" s="35"/>
      <c r="F8" s="334" t="s">
        <v>215</v>
      </c>
      <c r="G8" s="35"/>
      <c r="H8" s="35"/>
      <c r="I8" s="35"/>
      <c r="J8" s="334" t="s">
        <v>215</v>
      </c>
      <c r="K8" s="35"/>
      <c r="L8" s="261"/>
      <c r="M8" s="35"/>
      <c r="N8" s="57"/>
      <c r="O8" s="329" t="s">
        <v>203</v>
      </c>
      <c r="P8" s="295"/>
      <c r="Q8" s="295"/>
      <c r="R8" s="300" t="e">
        <f>IFERROR(IF(R9=0,"",'Assumptions and Calculations'!J183),NA())</f>
        <v>#N/A</v>
      </c>
      <c r="S8" s="297"/>
      <c r="T8" s="301" t="e">
        <f>IFERROR(IF(T9=0,"",'Assumptions and Calculations'!J243),NA())</f>
        <v>#N/A</v>
      </c>
      <c r="U8" s="297"/>
      <c r="V8" s="330" t="e">
        <f>IFERROR(T8-R8,NA())</f>
        <v>#N/A</v>
      </c>
      <c r="W8" s="58"/>
      <c r="X8" s="36"/>
    </row>
    <row r="9" spans="1:24" ht="17.25" x14ac:dyDescent="0.35">
      <c r="A9" s="36"/>
      <c r="B9" s="49"/>
      <c r="C9" s="35"/>
      <c r="D9" s="35"/>
      <c r="E9" s="35"/>
      <c r="F9" s="37"/>
      <c r="G9" s="35"/>
      <c r="H9" s="37"/>
      <c r="I9" s="35"/>
      <c r="J9" s="37"/>
      <c r="K9" s="35"/>
      <c r="L9" s="50"/>
      <c r="M9" s="35"/>
      <c r="N9" s="57"/>
      <c r="O9" s="329" t="s">
        <v>211</v>
      </c>
      <c r="P9" s="295"/>
      <c r="Q9" s="295"/>
      <c r="R9" s="296" t="e">
        <f>IFERROR('Assumptions and Calculations'!E170,NA())</f>
        <v>#N/A</v>
      </c>
      <c r="S9" s="297"/>
      <c r="T9" s="296" t="e">
        <f>IFERROR('Assumptions and Calculations'!E230,NA())</f>
        <v>#N/A</v>
      </c>
      <c r="U9" s="297"/>
      <c r="V9" s="296" t="e">
        <f>IFERROR(IF(T9=0,0,T9-R9),NA())</f>
        <v>#N/A</v>
      </c>
      <c r="W9" s="58"/>
      <c r="X9" s="285"/>
    </row>
    <row r="10" spans="1:24" ht="17.25" x14ac:dyDescent="0.35">
      <c r="A10" s="36"/>
      <c r="B10" s="49"/>
      <c r="C10" s="35"/>
      <c r="D10" s="35"/>
      <c r="E10" s="35"/>
      <c r="F10" s="37"/>
      <c r="G10" s="35"/>
      <c r="H10" s="35"/>
      <c r="I10" s="35"/>
      <c r="J10" s="37"/>
      <c r="K10" s="35"/>
      <c r="L10" s="50"/>
      <c r="M10" s="35"/>
      <c r="N10" s="57"/>
      <c r="O10" s="324" t="s">
        <v>38</v>
      </c>
      <c r="P10" s="295"/>
      <c r="Q10" s="295"/>
      <c r="R10" s="296" t="e">
        <f>IFERROR('Assumptions and Calculations'!E153,NA())</f>
        <v>#N/A</v>
      </c>
      <c r="S10" s="297" t="e">
        <f>IF(S$7="","",R10/R$7)</f>
        <v>#N/A</v>
      </c>
      <c r="T10" s="298" t="e">
        <f>IFERROR('Assumptions and Calculations'!E213,NA())</f>
        <v>#N/A</v>
      </c>
      <c r="U10" s="297" t="e">
        <f>IF(U$7="","",T10/T$7)</f>
        <v>#N/A</v>
      </c>
      <c r="V10" s="299" t="e">
        <f>IFERROR(T10-R10,NA())</f>
        <v>#N/A</v>
      </c>
      <c r="W10" s="58"/>
      <c r="X10" s="285"/>
    </row>
    <row r="11" spans="1:24" ht="17.25" x14ac:dyDescent="0.35">
      <c r="A11" s="36"/>
      <c r="B11" s="49"/>
      <c r="C11" s="259" t="s">
        <v>233</v>
      </c>
      <c r="D11" s="35"/>
      <c r="E11" s="35"/>
      <c r="F11" s="335" t="s">
        <v>215</v>
      </c>
      <c r="G11" s="35"/>
      <c r="H11" s="35"/>
      <c r="I11" s="35"/>
      <c r="J11" s="335" t="s">
        <v>215</v>
      </c>
      <c r="K11" s="35"/>
      <c r="L11" s="50"/>
      <c r="M11" s="35"/>
      <c r="N11" s="57"/>
      <c r="O11" s="324" t="s">
        <v>202</v>
      </c>
      <c r="P11" s="295"/>
      <c r="Q11" s="295"/>
      <c r="R11" s="296" t="e">
        <f>IFERROR('Assumptions and Calculations'!E164,NA())</f>
        <v>#N/A</v>
      </c>
      <c r="S11" s="297" t="e">
        <f>IF(S$7="","",R11/R$7)</f>
        <v>#N/A</v>
      </c>
      <c r="T11" s="298" t="e">
        <f>IFERROR('Assumptions and Calculations'!E224,NA())</f>
        <v>#N/A</v>
      </c>
      <c r="U11" s="297" t="e">
        <f>IF(U$7="","",T11/T$7)</f>
        <v>#N/A</v>
      </c>
      <c r="V11" s="299" t="e">
        <f>IFERROR(T11-R11,NA())</f>
        <v>#N/A</v>
      </c>
      <c r="W11" s="58"/>
      <c r="X11" s="285"/>
    </row>
    <row r="12" spans="1:24" ht="17.25" x14ac:dyDescent="0.35">
      <c r="A12" s="36"/>
      <c r="B12" s="49"/>
      <c r="C12" s="35"/>
      <c r="D12" s="35"/>
      <c r="E12" s="35"/>
      <c r="F12" s="37"/>
      <c r="G12" s="35"/>
      <c r="H12" s="37"/>
      <c r="I12" s="35"/>
      <c r="J12" s="37"/>
      <c r="K12" s="35"/>
      <c r="L12" s="50"/>
      <c r="M12" s="35"/>
      <c r="N12" s="57"/>
      <c r="O12" s="325" t="s">
        <v>39</v>
      </c>
      <c r="P12" s="302"/>
      <c r="Q12" s="302"/>
      <c r="R12" s="303" t="e">
        <f>IFERROR(R7-(R10+R11),NA())</f>
        <v>#N/A</v>
      </c>
      <c r="S12" s="304" t="e">
        <f>IF(S$7="","",R12/R$7)</f>
        <v>#N/A</v>
      </c>
      <c r="T12" s="305" t="e">
        <f>IFERROR(T7-(T10+T11),NA())</f>
        <v>#N/A</v>
      </c>
      <c r="U12" s="304" t="e">
        <f>IF(U$7="","",T12/T$7)</f>
        <v>#N/A</v>
      </c>
      <c r="V12" s="306" t="e">
        <f>IFERROR(T12-R12,NA())</f>
        <v>#N/A</v>
      </c>
      <c r="W12" s="58"/>
      <c r="X12" s="36"/>
    </row>
    <row r="13" spans="1:24" ht="17.25" x14ac:dyDescent="0.35">
      <c r="A13" s="36"/>
      <c r="B13" s="49"/>
      <c r="C13" s="35"/>
      <c r="D13" s="35"/>
      <c r="E13" s="35"/>
      <c r="F13" s="37"/>
      <c r="G13" s="35"/>
      <c r="H13" s="35"/>
      <c r="I13" s="35"/>
      <c r="J13" s="37"/>
      <c r="K13" s="35"/>
      <c r="L13" s="50"/>
      <c r="M13" s="35"/>
      <c r="N13" s="57"/>
      <c r="O13" s="385"/>
      <c r="P13" s="385"/>
      <c r="Q13" s="385"/>
      <c r="R13" s="385"/>
      <c r="S13" s="385"/>
      <c r="T13" s="385"/>
      <c r="U13" s="385"/>
      <c r="V13" s="385"/>
      <c r="W13" s="58"/>
      <c r="X13" s="36"/>
    </row>
    <row r="14" spans="1:24" ht="17.25" x14ac:dyDescent="0.35">
      <c r="A14" s="36"/>
      <c r="B14" s="49"/>
      <c r="C14" s="259" t="s">
        <v>232</v>
      </c>
      <c r="D14" s="35"/>
      <c r="E14" s="35"/>
      <c r="F14" s="336" t="s">
        <v>215</v>
      </c>
      <c r="G14" s="35"/>
      <c r="H14" s="35"/>
      <c r="I14" s="35"/>
      <c r="J14" s="336" t="s">
        <v>215</v>
      </c>
      <c r="K14" s="35"/>
      <c r="L14" s="50"/>
      <c r="M14" s="35"/>
      <c r="N14" s="57"/>
      <c r="O14" s="307" t="s">
        <v>239</v>
      </c>
      <c r="P14" s="308"/>
      <c r="Q14" s="308"/>
      <c r="R14" s="308"/>
      <c r="S14" s="308"/>
      <c r="T14" s="308"/>
      <c r="U14" s="308"/>
      <c r="V14" s="309"/>
      <c r="W14" s="58"/>
      <c r="X14" s="36"/>
    </row>
    <row r="15" spans="1:24" ht="17.25" x14ac:dyDescent="0.35">
      <c r="A15" s="36"/>
      <c r="B15" s="49"/>
      <c r="C15" s="35"/>
      <c r="D15" s="35"/>
      <c r="E15" s="35"/>
      <c r="F15" s="37"/>
      <c r="G15" s="35"/>
      <c r="H15" s="37"/>
      <c r="I15" s="35"/>
      <c r="J15" s="37"/>
      <c r="K15" s="35"/>
      <c r="L15" s="50"/>
      <c r="M15" s="35"/>
      <c r="N15" s="57"/>
      <c r="O15" s="290"/>
      <c r="P15" s="291"/>
      <c r="Q15" s="311"/>
      <c r="R15" s="382" t="s">
        <v>240</v>
      </c>
      <c r="S15" s="383"/>
      <c r="T15" s="382" t="s">
        <v>241</v>
      </c>
      <c r="U15" s="383"/>
      <c r="V15" s="340" t="s">
        <v>242</v>
      </c>
      <c r="W15" s="58"/>
      <c r="X15" s="36"/>
    </row>
    <row r="16" spans="1:24" ht="17.25" x14ac:dyDescent="0.35">
      <c r="A16" s="36"/>
      <c r="B16" s="49"/>
      <c r="C16" s="35"/>
      <c r="D16" s="35"/>
      <c r="E16" s="35"/>
      <c r="F16" s="37"/>
      <c r="G16" s="35"/>
      <c r="H16" s="35"/>
      <c r="I16" s="35"/>
      <c r="J16" s="37"/>
      <c r="K16" s="35"/>
      <c r="L16" s="50"/>
      <c r="M16" s="35"/>
      <c r="N16" s="57"/>
      <c r="O16" s="324" t="s">
        <v>250</v>
      </c>
      <c r="P16" s="295"/>
      <c r="Q16" s="339"/>
      <c r="R16" s="341"/>
      <c r="S16" s="298" t="e">
        <f>IFERROR(S17+S18,NA())</f>
        <v>#N/A</v>
      </c>
      <c r="T16" s="341"/>
      <c r="U16" s="298" t="e">
        <f>IFERROR(U17+U18,NA())</f>
        <v>#N/A</v>
      </c>
      <c r="V16" s="298" t="e">
        <f>IFERROR(U16-S16,NA())</f>
        <v>#N/A</v>
      </c>
      <c r="W16" s="58"/>
      <c r="X16" s="36"/>
    </row>
    <row r="17" spans="1:24" ht="17.25" x14ac:dyDescent="0.35">
      <c r="A17" s="36"/>
      <c r="B17" s="49"/>
      <c r="C17" s="259" t="s">
        <v>231</v>
      </c>
      <c r="D17" s="35"/>
      <c r="E17" s="35"/>
      <c r="F17" s="337" t="s">
        <v>215</v>
      </c>
      <c r="G17" s="35"/>
      <c r="H17" s="35"/>
      <c r="I17" s="35"/>
      <c r="J17" s="337" t="s">
        <v>215</v>
      </c>
      <c r="K17" s="35"/>
      <c r="L17" s="50"/>
      <c r="M17" s="35"/>
      <c r="N17" s="57"/>
      <c r="O17" s="329" t="s">
        <v>248</v>
      </c>
      <c r="P17" s="295"/>
      <c r="Q17" s="339"/>
      <c r="R17" s="341"/>
      <c r="S17" s="298" t="e">
        <f>IFERROR('Assumptions and Calculations'!E187,NA())</f>
        <v>#N/A</v>
      </c>
      <c r="T17" s="341"/>
      <c r="U17" s="298" t="e">
        <f>IFERROR('Assumptions and Calculations'!E247,NA())</f>
        <v>#N/A</v>
      </c>
      <c r="V17" s="298" t="e">
        <f>IFERROR(U17-S17,NA())</f>
        <v>#N/A</v>
      </c>
      <c r="W17" s="58"/>
      <c r="X17" s="36"/>
    </row>
    <row r="18" spans="1:24" ht="17.25" x14ac:dyDescent="0.35">
      <c r="A18" s="36"/>
      <c r="B18" s="49"/>
      <c r="C18" s="35"/>
      <c r="D18" s="35"/>
      <c r="E18" s="35"/>
      <c r="F18" s="37"/>
      <c r="G18" s="35"/>
      <c r="H18" s="35"/>
      <c r="I18" s="35"/>
      <c r="J18" s="37"/>
      <c r="K18" s="35"/>
      <c r="L18" s="50"/>
      <c r="M18" s="35"/>
      <c r="N18" s="57"/>
      <c r="O18" s="329" t="s">
        <v>249</v>
      </c>
      <c r="P18" s="295"/>
      <c r="Q18" s="339"/>
      <c r="R18" s="341"/>
      <c r="S18" s="298" t="e">
        <f>IFERROR('Assumptions and Calculations'!E193,NA())</f>
        <v>#N/A</v>
      </c>
      <c r="T18" s="341"/>
      <c r="U18" s="298" t="e">
        <f>IFERROR('Assumptions and Calculations'!E253,NA())</f>
        <v>#N/A</v>
      </c>
      <c r="V18" s="298" t="e">
        <f>IFERROR(U18-S18,NA())</f>
        <v>#N/A</v>
      </c>
      <c r="W18" s="58"/>
      <c r="X18" s="36"/>
    </row>
    <row r="19" spans="1:24" ht="17.25" x14ac:dyDescent="0.35">
      <c r="A19" s="36"/>
      <c r="B19" s="49"/>
      <c r="C19" s="35"/>
      <c r="D19" s="35"/>
      <c r="E19" s="35"/>
      <c r="F19" s="37"/>
      <c r="G19" s="35"/>
      <c r="H19" s="37"/>
      <c r="I19" s="35"/>
      <c r="J19" s="37"/>
      <c r="K19" s="35"/>
      <c r="L19" s="50"/>
      <c r="M19" s="35"/>
      <c r="N19" s="57"/>
      <c r="O19" s="325" t="s">
        <v>245</v>
      </c>
      <c r="P19" s="302"/>
      <c r="Q19" s="348"/>
      <c r="R19" s="389" t="e">
        <f>IFERROR('Assumptions and Calculations'!E185,NA())</f>
        <v>#N/A</v>
      </c>
      <c r="S19" s="390"/>
      <c r="T19" s="389" t="e">
        <f>IFERROR('Assumptions and Calculations'!E245,NA())</f>
        <v>#N/A</v>
      </c>
      <c r="U19" s="390"/>
      <c r="V19" s="305"/>
      <c r="W19" s="58"/>
      <c r="X19" s="36"/>
    </row>
    <row r="20" spans="1:24" ht="17.25" x14ac:dyDescent="0.35">
      <c r="A20" s="36"/>
      <c r="B20" s="49"/>
      <c r="C20" s="259" t="s">
        <v>17</v>
      </c>
      <c r="D20" s="35"/>
      <c r="E20" s="35"/>
      <c r="F20" s="338" t="s">
        <v>215</v>
      </c>
      <c r="G20" s="35"/>
      <c r="H20" s="35"/>
      <c r="I20" s="35"/>
      <c r="J20" s="338" t="s">
        <v>215</v>
      </c>
      <c r="K20" s="35"/>
      <c r="L20" s="50"/>
      <c r="M20" s="36"/>
      <c r="N20" s="57"/>
      <c r="O20" s="385"/>
      <c r="P20" s="385"/>
      <c r="Q20" s="385"/>
      <c r="R20" s="385"/>
      <c r="S20" s="385"/>
      <c r="T20" s="385"/>
      <c r="U20" s="385"/>
      <c r="V20" s="385"/>
      <c r="W20" s="58"/>
      <c r="X20" s="36"/>
    </row>
    <row r="21" spans="1:24" ht="17.25" x14ac:dyDescent="0.35">
      <c r="A21" s="36"/>
      <c r="B21" s="49"/>
      <c r="C21" s="35"/>
      <c r="D21" s="35"/>
      <c r="E21" s="35"/>
      <c r="F21" s="35"/>
      <c r="G21" s="35"/>
      <c r="H21" s="35"/>
      <c r="I21" s="35"/>
      <c r="J21" s="35"/>
      <c r="K21" s="35"/>
      <c r="L21" s="50"/>
      <c r="M21" s="36"/>
      <c r="N21" s="57"/>
      <c r="O21" s="391" t="s">
        <v>244</v>
      </c>
      <c r="P21" s="392"/>
      <c r="Q21" s="392"/>
      <c r="R21" s="392"/>
      <c r="S21" s="392"/>
      <c r="T21" s="392"/>
      <c r="U21" s="392"/>
      <c r="V21" s="393"/>
      <c r="W21" s="58"/>
      <c r="X21" s="36"/>
    </row>
    <row r="22" spans="1:24" ht="17.25" x14ac:dyDescent="0.35">
      <c r="A22" s="36"/>
      <c r="B22" s="49"/>
      <c r="C22" s="35"/>
      <c r="D22" s="35"/>
      <c r="E22" s="35"/>
      <c r="F22" s="35"/>
      <c r="G22" s="35"/>
      <c r="H22" s="35"/>
      <c r="I22" s="35"/>
      <c r="J22" s="35"/>
      <c r="K22" s="35"/>
      <c r="L22" s="50"/>
      <c r="M22" s="36"/>
      <c r="N22" s="57"/>
      <c r="O22" s="310"/>
      <c r="P22" s="291"/>
      <c r="Q22" s="311"/>
      <c r="R22" s="394" t="s">
        <v>240</v>
      </c>
      <c r="S22" s="395"/>
      <c r="T22" s="394" t="s">
        <v>241</v>
      </c>
      <c r="U22" s="395"/>
      <c r="V22" s="292" t="s">
        <v>242</v>
      </c>
      <c r="W22" s="58"/>
      <c r="X22" s="36"/>
    </row>
    <row r="23" spans="1:24" ht="17.25" x14ac:dyDescent="0.35">
      <c r="A23" s="36"/>
      <c r="B23" s="49"/>
      <c r="C23" s="35"/>
      <c r="D23" s="35"/>
      <c r="E23" s="35"/>
      <c r="F23" s="35"/>
      <c r="G23" s="35"/>
      <c r="H23" s="35"/>
      <c r="I23" s="35"/>
      <c r="J23" s="35"/>
      <c r="K23" s="35"/>
      <c r="L23" s="50"/>
      <c r="M23" s="36"/>
      <c r="N23" s="57"/>
      <c r="O23" s="312"/>
      <c r="P23" s="313"/>
      <c r="Q23" s="313"/>
      <c r="R23" s="314" t="s">
        <v>175</v>
      </c>
      <c r="S23" s="315" t="s">
        <v>174</v>
      </c>
      <c r="T23" s="314" t="s">
        <v>175</v>
      </c>
      <c r="U23" s="315" t="s">
        <v>174</v>
      </c>
      <c r="V23" s="316"/>
      <c r="W23" s="58"/>
      <c r="X23" s="36"/>
    </row>
    <row r="24" spans="1:24" ht="17.25" x14ac:dyDescent="0.35">
      <c r="A24" s="36"/>
      <c r="B24" s="49"/>
      <c r="C24" s="35"/>
      <c r="D24" s="35"/>
      <c r="E24" s="35"/>
      <c r="F24" s="35"/>
      <c r="G24" s="35"/>
      <c r="H24" s="35"/>
      <c r="I24" s="35"/>
      <c r="J24" s="35"/>
      <c r="K24" s="35"/>
      <c r="L24" s="50"/>
      <c r="M24" s="36"/>
      <c r="N24" s="57"/>
      <c r="O24" s="345" t="s">
        <v>42</v>
      </c>
      <c r="P24" s="346"/>
      <c r="Q24" s="346"/>
      <c r="R24" s="317" t="e">
        <f>IFERROR(R12,NA())</f>
        <v>#N/A</v>
      </c>
      <c r="S24" s="318" t="e">
        <f>IFERROR(R24/R26,NA())</f>
        <v>#N/A</v>
      </c>
      <c r="T24" s="317" t="e">
        <f>IFERROR(T12,NA())</f>
        <v>#N/A</v>
      </c>
      <c r="U24" s="318" t="e">
        <f>IFERROR(T24/T26,NA())</f>
        <v>#N/A</v>
      </c>
      <c r="V24" s="319" t="e">
        <f>IFERROR(T24-R24,NA())</f>
        <v>#N/A</v>
      </c>
      <c r="W24" s="58"/>
      <c r="X24" s="36"/>
    </row>
    <row r="25" spans="1:24" ht="17.25" x14ac:dyDescent="0.35">
      <c r="A25" s="36"/>
      <c r="B25" s="49"/>
      <c r="C25" s="35"/>
      <c r="D25" s="35"/>
      <c r="E25" s="35"/>
      <c r="F25" s="35"/>
      <c r="G25" s="35"/>
      <c r="H25" s="35"/>
      <c r="I25" s="35"/>
      <c r="J25" s="35"/>
      <c r="K25" s="35"/>
      <c r="L25" s="50"/>
      <c r="M25" s="36"/>
      <c r="N25" s="57"/>
      <c r="O25" s="324" t="s">
        <v>41</v>
      </c>
      <c r="P25" s="347"/>
      <c r="Q25" s="347"/>
      <c r="R25" s="296" t="e">
        <f>IFERROR('Assumptions and Calculations'!E195,NA())</f>
        <v>#N/A</v>
      </c>
      <c r="S25" s="320" t="e">
        <f>IFERROR(R25/R26,NA())</f>
        <v>#N/A</v>
      </c>
      <c r="T25" s="296" t="e">
        <f>IFERROR('Assumptions and Calculations'!E255,NA())</f>
        <v>#N/A</v>
      </c>
      <c r="U25" s="320" t="e">
        <f>IFERROR(T25/T26,NA())</f>
        <v>#N/A</v>
      </c>
      <c r="V25" s="321" t="e">
        <f>IFERROR(T25-R25,NA())</f>
        <v>#N/A</v>
      </c>
      <c r="W25" s="58"/>
      <c r="X25" s="36"/>
    </row>
    <row r="26" spans="1:24" ht="17.25" x14ac:dyDescent="0.35">
      <c r="A26" s="36"/>
      <c r="B26" s="49"/>
      <c r="C26" s="35"/>
      <c r="D26" s="35"/>
      <c r="E26" s="35"/>
      <c r="F26" s="35"/>
      <c r="G26" s="35"/>
      <c r="H26" s="35"/>
      <c r="I26" s="35"/>
      <c r="J26" s="35"/>
      <c r="K26" s="35"/>
      <c r="L26" s="50"/>
      <c r="M26" s="36"/>
      <c r="N26" s="57"/>
      <c r="O26" s="386" t="s">
        <v>43</v>
      </c>
      <c r="P26" s="387"/>
      <c r="Q26" s="388"/>
      <c r="R26" s="303" t="e">
        <f>IFERROR(SUM(R24:R25),NA())</f>
        <v>#N/A</v>
      </c>
      <c r="S26" s="322" t="e">
        <f>IFERROR(R26/R26,NA())</f>
        <v>#N/A</v>
      </c>
      <c r="T26" s="303" t="e">
        <f>IFERROR(SUM(T24:T25),NA())</f>
        <v>#N/A</v>
      </c>
      <c r="U26" s="322" t="e">
        <f>IFERROR(T26/T26,NA())</f>
        <v>#N/A</v>
      </c>
      <c r="V26" s="323" t="e">
        <f>IFERROR(IF(T26=0,0,T26-R26),NA())</f>
        <v>#N/A</v>
      </c>
      <c r="W26" s="58"/>
      <c r="X26" s="36"/>
    </row>
    <row r="27" spans="1:24" ht="17.25" x14ac:dyDescent="0.35">
      <c r="A27" s="36"/>
      <c r="B27" s="49"/>
      <c r="C27" s="35"/>
      <c r="D27" s="35"/>
      <c r="E27" s="35"/>
      <c r="F27" s="35"/>
      <c r="G27" s="35"/>
      <c r="H27" s="35"/>
      <c r="I27" s="35"/>
      <c r="J27" s="35"/>
      <c r="K27" s="35"/>
      <c r="L27" s="50"/>
      <c r="M27" s="36"/>
      <c r="N27" s="57"/>
      <c r="O27" s="327" t="s">
        <v>214</v>
      </c>
      <c r="P27" s="295"/>
      <c r="Q27" s="295"/>
      <c r="R27" s="295"/>
      <c r="S27" s="295"/>
      <c r="T27" s="295"/>
      <c r="U27" s="295"/>
      <c r="V27" s="295"/>
      <c r="W27" s="58"/>
      <c r="X27" s="36"/>
    </row>
    <row r="28" spans="1:24" ht="7.5" customHeight="1" thickBot="1" x14ac:dyDescent="0.4">
      <c r="A28" s="36"/>
      <c r="B28" s="51"/>
      <c r="C28" s="52"/>
      <c r="D28" s="52"/>
      <c r="E28" s="52"/>
      <c r="F28" s="52"/>
      <c r="G28" s="52"/>
      <c r="H28" s="52"/>
      <c r="I28" s="52"/>
      <c r="J28" s="52"/>
      <c r="K28" s="52"/>
      <c r="L28" s="53"/>
      <c r="M28" s="35"/>
      <c r="N28" s="333"/>
      <c r="O28" s="328"/>
      <c r="P28" s="328"/>
      <c r="Q28" s="328"/>
      <c r="R28" s="328"/>
      <c r="S28" s="328"/>
      <c r="T28" s="328"/>
      <c r="U28" s="328"/>
      <c r="V28" s="328"/>
      <c r="W28" s="326"/>
      <c r="X28" s="36"/>
    </row>
    <row r="29" spans="1:24" ht="17.25" x14ac:dyDescent="0.35">
      <c r="A29" s="36"/>
      <c r="B29" s="35"/>
      <c r="C29" s="36"/>
      <c r="D29" s="36"/>
      <c r="E29" s="36"/>
      <c r="F29" s="36"/>
      <c r="G29" s="36"/>
      <c r="H29" s="36"/>
      <c r="I29" s="36"/>
      <c r="J29" s="36"/>
      <c r="K29" s="36"/>
      <c r="L29" s="36"/>
      <c r="M29" s="36"/>
      <c r="N29" s="349" t="str">
        <f>IF(OR(
               AND(F8 = "Cement block producer", F14 = "SaTo pan", F20 = "Network"),
               AND(J8 = "Cement block producer", J14 = "SaTo pan", J20 = "Network")),
      "ERROR: The combination of Cement block producer, SaTo pan, and Network model is not permitted","")</f>
        <v/>
      </c>
      <c r="O29" s="36"/>
      <c r="P29" s="36"/>
      <c r="Q29" s="36"/>
      <c r="R29" s="36"/>
      <c r="S29" s="36"/>
      <c r="T29" s="36"/>
      <c r="U29" s="36"/>
      <c r="V29" s="36"/>
      <c r="W29" s="36"/>
      <c r="X29" s="36"/>
    </row>
    <row r="30" spans="1:24" ht="17.25" x14ac:dyDescent="0.35">
      <c r="A30" s="36"/>
      <c r="B30" s="35"/>
      <c r="C30" s="36"/>
      <c r="D30" s="36"/>
      <c r="E30" s="36"/>
      <c r="F30" s="36"/>
      <c r="G30" s="36"/>
      <c r="H30" s="36"/>
      <c r="I30" s="36"/>
      <c r="J30" s="36"/>
      <c r="K30" s="36"/>
      <c r="L30" s="36"/>
      <c r="M30" s="36"/>
      <c r="N30" s="36"/>
      <c r="O30" s="36"/>
      <c r="P30" s="36"/>
      <c r="Q30" s="36"/>
      <c r="R30" s="344"/>
      <c r="S30" s="36"/>
      <c r="T30" s="36"/>
      <c r="U30" s="36"/>
      <c r="V30" s="36"/>
      <c r="W30" s="36"/>
      <c r="X30" s="36"/>
    </row>
    <row r="31" spans="1:24" ht="17.25" x14ac:dyDescent="0.35">
      <c r="A31" s="36"/>
      <c r="B31" s="35"/>
      <c r="C31" s="36"/>
      <c r="D31" s="36"/>
      <c r="E31" s="36"/>
      <c r="F31" s="36"/>
      <c r="G31" s="36"/>
      <c r="H31" s="36"/>
      <c r="I31" s="36"/>
      <c r="J31" s="36"/>
      <c r="K31" s="36"/>
      <c r="L31" s="36"/>
      <c r="M31" s="36"/>
      <c r="N31" s="36"/>
      <c r="O31" s="36"/>
      <c r="P31" s="36"/>
      <c r="Q31" s="36"/>
      <c r="R31" s="36"/>
      <c r="S31" s="36"/>
      <c r="T31" s="36"/>
      <c r="U31" s="36"/>
      <c r="V31" s="36"/>
      <c r="W31" s="36"/>
      <c r="X31" s="36"/>
    </row>
    <row r="32" spans="1:24" ht="17.25" x14ac:dyDescent="0.35">
      <c r="A32" s="36"/>
      <c r="B32" s="35"/>
      <c r="C32" s="36"/>
      <c r="D32" s="36"/>
      <c r="E32" s="36"/>
      <c r="F32" s="36"/>
      <c r="G32" s="36"/>
      <c r="H32" s="36"/>
      <c r="I32" s="36"/>
      <c r="J32" s="36"/>
      <c r="K32" s="36"/>
      <c r="L32" s="36"/>
      <c r="M32" s="36"/>
      <c r="N32" s="36"/>
      <c r="O32" s="36"/>
      <c r="P32" s="36"/>
      <c r="Q32" s="36"/>
      <c r="R32" s="36"/>
      <c r="S32" s="36"/>
      <c r="T32" s="36"/>
      <c r="U32" s="36"/>
      <c r="V32" s="36"/>
      <c r="W32" s="36"/>
      <c r="X32" s="36"/>
    </row>
    <row r="33" spans="1:24" ht="17.25" x14ac:dyDescent="0.35">
      <c r="A33" s="36"/>
      <c r="B33" s="35"/>
      <c r="C33" s="36"/>
      <c r="D33" s="36"/>
      <c r="E33" s="36"/>
      <c r="F33" s="36"/>
      <c r="G33" s="36"/>
      <c r="H33" s="36"/>
      <c r="I33" s="36"/>
      <c r="J33" s="36"/>
      <c r="K33" s="36"/>
      <c r="L33" s="36"/>
      <c r="M33" s="36"/>
      <c r="N33" s="36"/>
      <c r="O33" s="36"/>
      <c r="P33" s="36"/>
      <c r="Q33" s="36"/>
      <c r="R33" s="36"/>
      <c r="S33" s="36"/>
      <c r="T33" s="36"/>
      <c r="U33" s="36"/>
      <c r="V33" s="36"/>
      <c r="W33" s="36"/>
      <c r="X33" s="36"/>
    </row>
    <row r="34" spans="1:24" ht="17.25" x14ac:dyDescent="0.35">
      <c r="A34" s="36"/>
      <c r="B34" s="263"/>
      <c r="C34" s="262"/>
      <c r="D34" s="262"/>
      <c r="E34" s="262"/>
      <c r="F34" s="262"/>
      <c r="G34" s="262"/>
      <c r="H34" s="262"/>
      <c r="I34" s="262"/>
      <c r="J34" s="262"/>
      <c r="K34" s="262"/>
      <c r="L34" s="262"/>
      <c r="M34" s="262"/>
      <c r="N34" s="262"/>
      <c r="O34" s="262"/>
      <c r="P34" s="262"/>
      <c r="Q34" s="36"/>
      <c r="R34" s="36"/>
      <c r="S34" s="36"/>
      <c r="T34" s="36"/>
      <c r="U34" s="36"/>
      <c r="V34" s="36"/>
      <c r="W34" s="36"/>
      <c r="X34" s="36"/>
    </row>
    <row r="35" spans="1:24" ht="17.25" x14ac:dyDescent="0.35">
      <c r="A35" s="36"/>
      <c r="B35" s="263"/>
      <c r="C35" s="263" t="s">
        <v>46</v>
      </c>
      <c r="D35" s="263"/>
      <c r="E35" s="263"/>
      <c r="F35" s="263" t="s">
        <v>37</v>
      </c>
      <c r="G35" s="263"/>
      <c r="H35" s="263" t="s">
        <v>6</v>
      </c>
      <c r="I35" s="263"/>
      <c r="J35" s="263" t="s">
        <v>40</v>
      </c>
      <c r="K35" s="263"/>
      <c r="L35" s="263" t="s">
        <v>17</v>
      </c>
      <c r="M35" s="263"/>
      <c r="N35" s="263"/>
      <c r="O35" s="263"/>
      <c r="P35" s="263"/>
      <c r="Q35" s="36"/>
      <c r="R35" s="36"/>
      <c r="S35" s="36"/>
      <c r="T35" s="36"/>
      <c r="U35" s="36"/>
      <c r="V35" s="36"/>
      <c r="W35" s="36"/>
      <c r="X35" s="36"/>
    </row>
    <row r="36" spans="1:24" ht="17.25" x14ac:dyDescent="0.35">
      <c r="A36" s="36"/>
      <c r="B36" s="263"/>
      <c r="C36" s="262" t="s">
        <v>215</v>
      </c>
      <c r="D36" s="262"/>
      <c r="E36" s="262"/>
      <c r="F36" s="262" t="s">
        <v>215</v>
      </c>
      <c r="G36" s="262"/>
      <c r="H36" s="262" t="s">
        <v>215</v>
      </c>
      <c r="I36" s="262"/>
      <c r="J36" s="262" t="s">
        <v>215</v>
      </c>
      <c r="K36" s="262"/>
      <c r="L36" s="262" t="s">
        <v>215</v>
      </c>
      <c r="M36" s="262"/>
      <c r="N36" s="262"/>
      <c r="O36" s="263"/>
      <c r="P36" s="263"/>
      <c r="Q36" s="36"/>
      <c r="R36" s="36"/>
      <c r="S36" s="36"/>
      <c r="T36" s="36"/>
      <c r="U36" s="36"/>
      <c r="V36" s="36"/>
      <c r="W36" s="36"/>
      <c r="X36" s="36"/>
    </row>
    <row r="37" spans="1:24" ht="17.25" x14ac:dyDescent="0.35">
      <c r="A37" s="36"/>
      <c r="B37" s="263"/>
      <c r="C37" s="263" t="s">
        <v>22</v>
      </c>
      <c r="D37" s="263"/>
      <c r="E37" s="263"/>
      <c r="F37" s="263" t="s">
        <v>1</v>
      </c>
      <c r="G37" s="263"/>
      <c r="H37" s="263" t="s">
        <v>7</v>
      </c>
      <c r="I37" s="263"/>
      <c r="J37" s="263" t="s">
        <v>3</v>
      </c>
      <c r="K37" s="263"/>
      <c r="L37" s="263" t="s">
        <v>23</v>
      </c>
      <c r="M37" s="263"/>
      <c r="N37" s="263"/>
      <c r="O37" s="262"/>
      <c r="P37" s="262"/>
      <c r="Q37" s="36"/>
      <c r="R37" s="36"/>
      <c r="S37" s="36"/>
      <c r="T37" s="36"/>
      <c r="U37" s="36"/>
      <c r="V37" s="36"/>
      <c r="W37" s="36"/>
      <c r="X37" s="36"/>
    </row>
    <row r="38" spans="1:24" ht="17.25" x14ac:dyDescent="0.35">
      <c r="A38" s="36"/>
      <c r="B38" s="263"/>
      <c r="C38" s="263" t="s">
        <v>184</v>
      </c>
      <c r="D38" s="263"/>
      <c r="E38" s="263"/>
      <c r="F38" s="263" t="s">
        <v>44</v>
      </c>
      <c r="G38" s="263"/>
      <c r="H38" s="263" t="s">
        <v>8</v>
      </c>
      <c r="I38" s="263"/>
      <c r="J38" s="263" t="s">
        <v>4</v>
      </c>
      <c r="K38" s="263"/>
      <c r="L38" s="263" t="s">
        <v>206</v>
      </c>
      <c r="M38" s="263"/>
      <c r="N38" s="263"/>
      <c r="O38" s="262"/>
      <c r="P38" s="262"/>
      <c r="Q38" s="36"/>
      <c r="R38" s="36"/>
      <c r="S38" s="36"/>
      <c r="T38" s="36"/>
      <c r="U38" s="36"/>
      <c r="V38" s="36"/>
      <c r="W38" s="36"/>
      <c r="X38" s="36"/>
    </row>
    <row r="39" spans="1:24" ht="17.25" x14ac:dyDescent="0.35">
      <c r="A39" s="36"/>
      <c r="B39" s="263"/>
      <c r="C39" s="263" t="s">
        <v>185</v>
      </c>
      <c r="D39" s="263"/>
      <c r="E39" s="263"/>
      <c r="F39" s="263" t="s">
        <v>45</v>
      </c>
      <c r="G39" s="263"/>
      <c r="H39" s="263" t="s">
        <v>216</v>
      </c>
      <c r="I39" s="263"/>
      <c r="J39" s="263" t="s">
        <v>5</v>
      </c>
      <c r="K39" s="263"/>
      <c r="L39" s="263" t="s">
        <v>234</v>
      </c>
      <c r="M39" s="263"/>
      <c r="N39" s="263"/>
      <c r="O39" s="262"/>
      <c r="P39" s="262"/>
      <c r="Q39" s="36"/>
      <c r="R39" s="36"/>
      <c r="S39" s="36"/>
      <c r="T39" s="36"/>
      <c r="U39" s="36"/>
      <c r="V39" s="36"/>
      <c r="W39" s="36"/>
      <c r="X39" s="36"/>
    </row>
    <row r="40" spans="1:24" ht="17.25" x14ac:dyDescent="0.35">
      <c r="A40" s="36"/>
      <c r="B40" s="263"/>
      <c r="C40" s="263"/>
      <c r="D40" s="263"/>
      <c r="E40" s="263"/>
      <c r="F40" s="263" t="s">
        <v>2</v>
      </c>
      <c r="G40" s="263"/>
      <c r="H40" s="263" t="s">
        <v>218</v>
      </c>
      <c r="I40" s="263"/>
      <c r="J40" s="263"/>
      <c r="K40" s="263"/>
      <c r="L40" s="263"/>
      <c r="M40" s="263"/>
      <c r="N40" s="263"/>
      <c r="O40" s="262"/>
      <c r="P40" s="262"/>
      <c r="Q40" s="36"/>
      <c r="R40" s="36"/>
      <c r="S40" s="36"/>
      <c r="T40" s="36"/>
      <c r="U40" s="36"/>
      <c r="V40" s="36"/>
      <c r="W40" s="36"/>
      <c r="X40" s="36"/>
    </row>
    <row r="41" spans="1:24" ht="17.25" x14ac:dyDescent="0.35">
      <c r="A41" s="36"/>
      <c r="B41" s="263"/>
      <c r="C41" s="262"/>
      <c r="D41" s="262"/>
      <c r="E41" s="262"/>
      <c r="F41" s="262"/>
      <c r="G41" s="262"/>
      <c r="H41" s="262"/>
      <c r="I41" s="262"/>
      <c r="J41" s="262"/>
      <c r="K41" s="262"/>
      <c r="L41" s="262"/>
      <c r="M41" s="262"/>
      <c r="N41" s="262"/>
      <c r="O41" s="262"/>
      <c r="P41" s="262"/>
      <c r="Q41" s="36"/>
      <c r="R41" s="36"/>
      <c r="S41" s="36"/>
      <c r="T41" s="36"/>
      <c r="U41" s="36"/>
      <c r="V41" s="36"/>
      <c r="W41" s="36"/>
      <c r="X41" s="36"/>
    </row>
    <row r="42" spans="1:24" ht="17.25" x14ac:dyDescent="0.35">
      <c r="A42" s="36"/>
      <c r="B42" s="263"/>
      <c r="C42" s="262"/>
      <c r="D42" s="262"/>
      <c r="E42" s="262"/>
      <c r="F42" s="262"/>
      <c r="G42" s="262"/>
      <c r="H42" s="262"/>
      <c r="I42" s="262"/>
      <c r="J42" s="262"/>
      <c r="K42" s="262"/>
      <c r="L42" s="262"/>
      <c r="M42" s="262"/>
      <c r="N42" s="262"/>
      <c r="O42" s="262"/>
      <c r="P42" s="262"/>
      <c r="Q42" s="36"/>
      <c r="R42" s="36"/>
      <c r="S42" s="36"/>
      <c r="T42" s="36"/>
      <c r="U42" s="36"/>
      <c r="V42" s="36"/>
      <c r="W42" s="36"/>
      <c r="X42" s="36"/>
    </row>
    <row r="43" spans="1:24" ht="17.25" x14ac:dyDescent="0.35">
      <c r="A43" s="36"/>
      <c r="B43" s="35"/>
      <c r="C43" s="36"/>
      <c r="D43" s="36"/>
      <c r="E43" s="36"/>
      <c r="F43" s="36"/>
      <c r="G43" s="36"/>
      <c r="H43" s="36"/>
      <c r="I43" s="36"/>
      <c r="J43" s="36"/>
      <c r="K43" s="36"/>
      <c r="L43" s="36"/>
      <c r="M43" s="36"/>
      <c r="N43" s="36"/>
      <c r="O43" s="36"/>
      <c r="P43" s="36"/>
      <c r="Q43" s="36"/>
      <c r="R43" s="36"/>
      <c r="S43" s="36"/>
      <c r="T43" s="36"/>
      <c r="U43" s="36"/>
      <c r="V43" s="36"/>
      <c r="W43" s="36"/>
      <c r="X43" s="36"/>
    </row>
    <row r="44" spans="1:24" ht="17.25" x14ac:dyDescent="0.35">
      <c r="A44" s="36"/>
      <c r="B44" s="35"/>
      <c r="C44" s="36"/>
      <c r="D44" s="36"/>
      <c r="E44" s="36"/>
      <c r="F44" s="36"/>
      <c r="G44" s="36"/>
      <c r="H44" s="36"/>
      <c r="I44" s="36"/>
      <c r="J44" s="36"/>
      <c r="K44" s="36"/>
      <c r="L44" s="36"/>
      <c r="M44" s="36"/>
      <c r="N44" s="36"/>
      <c r="O44" s="36"/>
      <c r="P44" s="36"/>
      <c r="Q44" s="36"/>
      <c r="R44" s="36"/>
      <c r="S44" s="36"/>
      <c r="T44" s="36"/>
      <c r="U44" s="36"/>
      <c r="V44" s="36"/>
      <c r="W44" s="36"/>
      <c r="X44" s="36"/>
    </row>
    <row r="45" spans="1:24" ht="17.25" x14ac:dyDescent="0.35">
      <c r="A45" s="36"/>
      <c r="B45" s="35"/>
      <c r="C45" s="36"/>
      <c r="D45" s="36"/>
      <c r="E45" s="36"/>
      <c r="F45" s="36"/>
      <c r="G45" s="36"/>
      <c r="H45" s="36"/>
      <c r="I45" s="36"/>
      <c r="J45" s="36"/>
      <c r="K45" s="36"/>
      <c r="L45" s="36"/>
      <c r="M45" s="36"/>
      <c r="N45" s="36"/>
      <c r="O45" s="36"/>
      <c r="P45" s="36"/>
      <c r="Q45" s="36"/>
      <c r="R45" s="36"/>
      <c r="S45" s="36"/>
      <c r="T45" s="36"/>
      <c r="U45" s="36"/>
      <c r="V45" s="36"/>
      <c r="W45" s="36"/>
      <c r="X45" s="36"/>
    </row>
    <row r="46" spans="1:24" ht="17.25" x14ac:dyDescent="0.35">
      <c r="A46" s="36"/>
      <c r="B46" s="35"/>
      <c r="C46" s="36"/>
      <c r="D46" s="36"/>
      <c r="E46" s="36"/>
      <c r="F46" s="36"/>
      <c r="G46" s="36"/>
      <c r="H46" s="36"/>
      <c r="I46" s="36"/>
      <c r="J46" s="36"/>
      <c r="K46" s="36"/>
      <c r="L46" s="36"/>
      <c r="M46" s="36"/>
      <c r="N46" s="36"/>
      <c r="O46" s="36"/>
      <c r="P46" s="36"/>
      <c r="Q46" s="36"/>
      <c r="R46" s="36"/>
      <c r="S46" s="36"/>
      <c r="T46" s="36"/>
      <c r="U46" s="36"/>
      <c r="V46" s="36"/>
      <c r="W46" s="36"/>
      <c r="X46" s="36"/>
    </row>
    <row r="47" spans="1:24" ht="17.25" x14ac:dyDescent="0.35">
      <c r="A47" s="36"/>
      <c r="B47" s="35"/>
      <c r="C47" s="36"/>
      <c r="D47" s="36"/>
      <c r="E47" s="36"/>
      <c r="F47" s="36"/>
      <c r="G47" s="36"/>
      <c r="H47" s="36"/>
      <c r="I47" s="36"/>
      <c r="J47" s="36"/>
      <c r="K47" s="36"/>
      <c r="L47" s="36"/>
      <c r="M47" s="36"/>
      <c r="N47" s="36"/>
      <c r="O47" s="36"/>
      <c r="P47" s="36"/>
      <c r="Q47" s="36"/>
      <c r="R47" s="36"/>
      <c r="S47" s="36"/>
      <c r="T47" s="36"/>
      <c r="U47" s="36"/>
      <c r="V47" s="36"/>
      <c r="W47" s="36"/>
      <c r="X47" s="36"/>
    </row>
    <row r="48" spans="1:24" ht="17.25" x14ac:dyDescent="0.35">
      <c r="A48" s="36"/>
      <c r="B48" s="36"/>
      <c r="C48" s="36"/>
      <c r="D48" s="36"/>
      <c r="E48" s="36"/>
      <c r="F48" s="36"/>
      <c r="G48" s="36"/>
      <c r="H48" s="36"/>
      <c r="I48" s="36"/>
      <c r="J48" s="36"/>
      <c r="K48" s="36"/>
      <c r="L48" s="36"/>
      <c r="M48" s="36"/>
      <c r="N48" s="36"/>
      <c r="O48" s="36"/>
      <c r="P48" s="36"/>
      <c r="Q48" s="36"/>
      <c r="R48" s="36"/>
      <c r="S48" s="36"/>
      <c r="T48" s="36"/>
      <c r="U48" s="36"/>
      <c r="V48" s="36"/>
      <c r="W48" s="36"/>
      <c r="X48" s="36"/>
    </row>
    <row r="49" spans="1:24" ht="17.25" x14ac:dyDescent="0.35">
      <c r="A49" s="36"/>
      <c r="B49" s="36"/>
      <c r="C49" s="36"/>
      <c r="D49" s="36"/>
      <c r="E49" s="36"/>
      <c r="F49" s="36"/>
      <c r="G49" s="36"/>
      <c r="H49" s="36"/>
      <c r="I49" s="36"/>
      <c r="J49" s="36"/>
      <c r="K49" s="36"/>
      <c r="L49" s="36"/>
      <c r="M49" s="36"/>
      <c r="N49" s="36"/>
      <c r="O49" s="36"/>
      <c r="P49" s="36"/>
      <c r="Q49" s="36"/>
      <c r="R49" s="36"/>
      <c r="S49" s="36"/>
      <c r="T49" s="36"/>
      <c r="U49" s="36"/>
      <c r="V49" s="36"/>
      <c r="W49" s="36"/>
      <c r="X49" s="36"/>
    </row>
    <row r="50" spans="1:24" ht="17.25" x14ac:dyDescent="0.35">
      <c r="A50" s="36"/>
      <c r="B50" s="36"/>
      <c r="C50" s="36"/>
      <c r="D50" s="36"/>
      <c r="E50" s="36"/>
      <c r="F50" s="36"/>
      <c r="G50" s="36"/>
      <c r="H50" s="36"/>
      <c r="I50" s="36"/>
      <c r="J50" s="36"/>
      <c r="K50" s="36"/>
      <c r="L50" s="36"/>
      <c r="M50" s="36"/>
      <c r="N50" s="36"/>
      <c r="O50" s="36"/>
      <c r="P50" s="36"/>
      <c r="Q50" s="36"/>
      <c r="R50" s="36"/>
      <c r="S50" s="36"/>
      <c r="T50" s="36"/>
      <c r="U50" s="36"/>
      <c r="V50" s="36"/>
      <c r="W50" s="36"/>
      <c r="X50" s="36"/>
    </row>
    <row r="51" spans="1:24" ht="17.25" x14ac:dyDescent="0.35">
      <c r="A51" s="36"/>
      <c r="B51" s="36"/>
      <c r="C51" s="36"/>
      <c r="D51" s="36"/>
      <c r="E51" s="36"/>
      <c r="F51" s="36"/>
      <c r="G51" s="36"/>
      <c r="H51" s="36"/>
      <c r="I51" s="36"/>
      <c r="J51" s="36"/>
      <c r="K51" s="36"/>
      <c r="L51" s="36"/>
      <c r="M51" s="36"/>
      <c r="N51" s="36"/>
      <c r="O51" s="36"/>
      <c r="P51" s="36"/>
      <c r="Q51" s="36"/>
      <c r="R51" s="36"/>
      <c r="S51" s="36"/>
      <c r="T51" s="36"/>
      <c r="U51" s="36"/>
      <c r="V51" s="36"/>
      <c r="W51" s="36"/>
      <c r="X51" s="36"/>
    </row>
    <row r="52" spans="1:24" ht="17.25" x14ac:dyDescent="0.35">
      <c r="A52" s="36"/>
      <c r="B52" s="36"/>
      <c r="C52" s="36"/>
      <c r="D52" s="36"/>
      <c r="E52" s="36"/>
      <c r="F52" s="36"/>
      <c r="G52" s="36"/>
      <c r="H52" s="36"/>
      <c r="I52" s="36"/>
      <c r="J52" s="36"/>
      <c r="K52" s="36"/>
      <c r="L52" s="36"/>
      <c r="M52" s="36"/>
      <c r="N52" s="36"/>
      <c r="O52" s="36"/>
      <c r="P52" s="36"/>
      <c r="Q52" s="36"/>
      <c r="R52" s="36"/>
      <c r="S52" s="36"/>
      <c r="T52" s="36"/>
      <c r="U52" s="36"/>
      <c r="V52" s="36"/>
      <c r="W52" s="36"/>
      <c r="X52" s="36"/>
    </row>
    <row r="53" spans="1:24" ht="17.25" x14ac:dyDescent="0.35">
      <c r="A53" s="36"/>
      <c r="B53" s="36"/>
      <c r="C53" s="36"/>
      <c r="D53" s="36"/>
      <c r="E53" s="36"/>
      <c r="F53" s="36"/>
      <c r="G53" s="36"/>
      <c r="H53" s="36"/>
      <c r="I53" s="36"/>
      <c r="J53" s="36"/>
      <c r="K53" s="36"/>
      <c r="L53" s="36"/>
      <c r="M53" s="36"/>
      <c r="N53" s="36"/>
      <c r="O53" s="36"/>
      <c r="P53" s="36"/>
      <c r="Q53" s="36"/>
      <c r="R53" s="36"/>
      <c r="S53" s="36"/>
      <c r="T53" s="36"/>
      <c r="U53" s="36"/>
      <c r="V53" s="36"/>
      <c r="W53" s="36"/>
      <c r="X53" s="36"/>
    </row>
    <row r="54" spans="1:24" ht="17.25" x14ac:dyDescent="0.35">
      <c r="A54" s="36"/>
      <c r="B54" s="36"/>
      <c r="C54" s="36"/>
      <c r="D54" s="36"/>
      <c r="E54" s="36"/>
      <c r="F54" s="36"/>
      <c r="G54" s="36"/>
      <c r="H54" s="36"/>
      <c r="I54" s="36"/>
      <c r="J54" s="36"/>
      <c r="K54" s="36"/>
      <c r="L54" s="36"/>
      <c r="M54" s="36"/>
      <c r="N54" s="36"/>
      <c r="O54" s="36"/>
      <c r="P54" s="36"/>
      <c r="Q54" s="36"/>
      <c r="R54" s="36"/>
      <c r="S54" s="36"/>
      <c r="T54" s="36"/>
      <c r="U54" s="36"/>
      <c r="V54" s="36"/>
      <c r="W54" s="36"/>
      <c r="X54" s="36"/>
    </row>
    <row r="55" spans="1:24" ht="17.25" x14ac:dyDescent="0.35">
      <c r="A55" s="36"/>
      <c r="B55" s="36"/>
      <c r="C55" s="36"/>
      <c r="D55" s="36"/>
      <c r="E55" s="36"/>
      <c r="F55" s="36"/>
      <c r="G55" s="36"/>
      <c r="H55" s="36"/>
      <c r="I55" s="36"/>
      <c r="J55" s="36"/>
      <c r="K55" s="36"/>
      <c r="L55" s="36"/>
      <c r="M55" s="36"/>
      <c r="N55" s="36"/>
      <c r="O55" s="36"/>
      <c r="P55" s="36"/>
      <c r="Q55" s="36"/>
      <c r="R55" s="36"/>
      <c r="S55" s="36"/>
      <c r="T55" s="36"/>
      <c r="U55" s="36"/>
      <c r="V55" s="36"/>
      <c r="W55" s="36"/>
      <c r="X55" s="36"/>
    </row>
    <row r="56" spans="1:24" ht="17.25" x14ac:dyDescent="0.35">
      <c r="A56" s="36"/>
      <c r="B56" s="36"/>
      <c r="C56" s="36"/>
      <c r="D56" s="36"/>
      <c r="E56" s="36"/>
      <c r="F56" s="36"/>
      <c r="G56" s="36"/>
      <c r="H56" s="36"/>
      <c r="I56" s="36"/>
      <c r="J56" s="36"/>
      <c r="K56" s="36"/>
      <c r="L56" s="36"/>
      <c r="M56" s="36"/>
      <c r="N56" s="36"/>
      <c r="O56" s="36"/>
      <c r="P56" s="36"/>
      <c r="Q56" s="36"/>
      <c r="R56" s="36"/>
      <c r="S56" s="36"/>
      <c r="T56" s="36"/>
      <c r="U56" s="36"/>
      <c r="V56" s="36"/>
      <c r="W56" s="36"/>
      <c r="X56" s="36"/>
    </row>
    <row r="57" spans="1:24" ht="17.25" x14ac:dyDescent="0.35">
      <c r="A57" s="36"/>
      <c r="B57" s="36"/>
      <c r="C57" s="36"/>
      <c r="D57" s="36"/>
      <c r="E57" s="36"/>
      <c r="F57" s="36"/>
      <c r="G57" s="36"/>
      <c r="H57" s="36"/>
      <c r="I57" s="36"/>
      <c r="J57" s="36"/>
      <c r="K57" s="36"/>
      <c r="L57" s="36"/>
      <c r="M57" s="36"/>
      <c r="N57" s="36"/>
      <c r="O57" s="36"/>
      <c r="P57" s="36"/>
      <c r="Q57" s="36"/>
      <c r="R57" s="36"/>
      <c r="S57" s="36"/>
      <c r="T57" s="36"/>
      <c r="U57" s="36"/>
      <c r="V57" s="36"/>
      <c r="W57" s="36"/>
      <c r="X57" s="36"/>
    </row>
    <row r="58" spans="1:24" ht="17.25" x14ac:dyDescent="0.35">
      <c r="A58" s="36"/>
      <c r="B58" s="36"/>
      <c r="C58" s="36"/>
      <c r="D58" s="36"/>
      <c r="E58" s="36"/>
      <c r="F58" s="36"/>
      <c r="G58" s="36"/>
      <c r="H58" s="36"/>
      <c r="I58" s="36"/>
      <c r="J58" s="36"/>
      <c r="K58" s="36"/>
      <c r="L58" s="36"/>
      <c r="M58" s="36"/>
      <c r="N58" s="36"/>
      <c r="O58" s="36"/>
      <c r="P58" s="36"/>
      <c r="Q58" s="36"/>
      <c r="R58" s="36"/>
      <c r="S58" s="36"/>
      <c r="T58" s="36"/>
      <c r="U58" s="36"/>
      <c r="V58" s="36"/>
      <c r="W58" s="36"/>
      <c r="X58" s="36"/>
    </row>
    <row r="59" spans="1:24" ht="17.25" x14ac:dyDescent="0.35">
      <c r="A59" s="36"/>
      <c r="B59" s="36"/>
      <c r="C59" s="36"/>
      <c r="D59" s="36"/>
      <c r="E59" s="36"/>
      <c r="F59" s="36"/>
      <c r="G59" s="36"/>
      <c r="H59" s="36"/>
      <c r="I59" s="36"/>
      <c r="J59" s="36"/>
      <c r="K59" s="36"/>
      <c r="L59" s="36"/>
      <c r="M59" s="36"/>
      <c r="N59" s="36"/>
      <c r="O59" s="36"/>
      <c r="P59" s="36"/>
      <c r="Q59" s="36"/>
      <c r="R59" s="36"/>
      <c r="S59" s="36"/>
      <c r="T59" s="36"/>
      <c r="U59" s="36"/>
      <c r="V59" s="36"/>
      <c r="W59" s="36"/>
      <c r="X59" s="36"/>
    </row>
    <row r="60" spans="1:24" ht="17.25" x14ac:dyDescent="0.35">
      <c r="A60" s="36"/>
      <c r="B60" s="36"/>
      <c r="C60" s="36"/>
      <c r="D60" s="36"/>
      <c r="E60" s="36"/>
      <c r="F60" s="36"/>
      <c r="G60" s="36"/>
      <c r="H60" s="36"/>
      <c r="I60" s="36"/>
      <c r="J60" s="36"/>
      <c r="K60" s="36"/>
      <c r="L60" s="36"/>
      <c r="M60" s="36"/>
      <c r="N60" s="36"/>
      <c r="O60" s="36"/>
      <c r="P60" s="36"/>
      <c r="Q60" s="36"/>
      <c r="R60" s="36"/>
      <c r="S60" s="36"/>
      <c r="T60" s="36"/>
      <c r="U60" s="36"/>
      <c r="V60" s="36"/>
      <c r="W60" s="36"/>
      <c r="X60" s="36"/>
    </row>
    <row r="61" spans="1:24" ht="17.25" x14ac:dyDescent="0.35">
      <c r="A61" s="36"/>
      <c r="B61" s="36"/>
      <c r="C61" s="36"/>
      <c r="D61" s="36"/>
      <c r="E61" s="36"/>
      <c r="F61" s="36"/>
      <c r="G61" s="36"/>
      <c r="H61" s="36"/>
      <c r="I61" s="36"/>
      <c r="J61" s="36"/>
      <c r="K61" s="36"/>
      <c r="L61" s="36"/>
      <c r="M61" s="36"/>
      <c r="N61" s="36"/>
      <c r="O61" s="36"/>
      <c r="P61" s="36"/>
      <c r="Q61" s="36"/>
      <c r="R61" s="36"/>
      <c r="S61" s="36"/>
      <c r="T61" s="36"/>
      <c r="U61" s="36"/>
      <c r="V61" s="36"/>
      <c r="W61" s="36"/>
      <c r="X61" s="36"/>
    </row>
    <row r="62" spans="1:24" ht="17.25" x14ac:dyDescent="0.35">
      <c r="A62" s="36"/>
      <c r="B62" s="36"/>
      <c r="C62" s="36"/>
      <c r="D62" s="36"/>
      <c r="E62" s="36"/>
      <c r="F62" s="36"/>
      <c r="G62" s="36"/>
      <c r="H62" s="36"/>
      <c r="I62" s="36"/>
      <c r="J62" s="36"/>
      <c r="K62" s="36"/>
      <c r="L62" s="36"/>
      <c r="M62" s="36"/>
      <c r="N62" s="36"/>
      <c r="O62" s="36"/>
      <c r="P62" s="36"/>
      <c r="Q62" s="36"/>
      <c r="R62" s="36"/>
      <c r="S62" s="36"/>
      <c r="T62" s="36"/>
      <c r="U62" s="36"/>
      <c r="V62" s="36"/>
      <c r="W62" s="36"/>
      <c r="X62" s="36"/>
    </row>
    <row r="63" spans="1:24" ht="17.25" x14ac:dyDescent="0.35">
      <c r="A63" s="36"/>
      <c r="B63" s="36"/>
      <c r="C63" s="36"/>
      <c r="D63" s="36"/>
      <c r="E63" s="36"/>
      <c r="F63" s="36"/>
      <c r="G63" s="36"/>
      <c r="H63" s="36"/>
      <c r="I63" s="36"/>
      <c r="J63" s="36"/>
      <c r="K63" s="36"/>
      <c r="L63" s="36"/>
      <c r="M63" s="36"/>
      <c r="N63" s="36"/>
      <c r="O63" s="36"/>
      <c r="P63" s="36"/>
      <c r="Q63" s="36"/>
      <c r="R63" s="36"/>
      <c r="S63" s="36"/>
      <c r="T63" s="36"/>
      <c r="U63" s="36"/>
      <c r="V63" s="36"/>
      <c r="W63" s="36"/>
      <c r="X63" s="36"/>
    </row>
    <row r="64" spans="1:24" ht="17.25" x14ac:dyDescent="0.35">
      <c r="A64" s="36"/>
      <c r="B64" s="36"/>
      <c r="C64" s="36"/>
      <c r="D64" s="36"/>
      <c r="E64" s="36"/>
      <c r="F64" s="36"/>
      <c r="G64" s="36"/>
      <c r="H64" s="36"/>
      <c r="I64" s="36"/>
      <c r="J64" s="36"/>
      <c r="K64" s="36"/>
      <c r="L64" s="36"/>
      <c r="M64" s="36"/>
      <c r="N64" s="36"/>
      <c r="O64" s="36"/>
      <c r="P64" s="36"/>
      <c r="Q64" s="36"/>
      <c r="R64" s="36"/>
      <c r="S64" s="36"/>
      <c r="T64" s="36"/>
      <c r="U64" s="36"/>
      <c r="V64" s="36"/>
      <c r="W64" s="36"/>
      <c r="X64" s="36"/>
    </row>
    <row r="65" spans="1:24" ht="17.25" x14ac:dyDescent="0.35">
      <c r="A65" s="36"/>
      <c r="B65" s="36"/>
      <c r="C65" s="36"/>
      <c r="D65" s="36"/>
      <c r="E65" s="36"/>
      <c r="F65" s="36"/>
      <c r="G65" s="36"/>
      <c r="H65" s="36"/>
      <c r="I65" s="36"/>
      <c r="J65" s="36"/>
      <c r="K65" s="36"/>
      <c r="L65" s="36"/>
      <c r="M65" s="36"/>
      <c r="N65" s="36"/>
      <c r="O65" s="36"/>
      <c r="P65" s="36"/>
      <c r="Q65" s="36"/>
      <c r="R65" s="36"/>
      <c r="S65" s="36"/>
      <c r="T65" s="36"/>
      <c r="U65" s="36"/>
      <c r="V65" s="36"/>
      <c r="W65" s="36"/>
      <c r="X65" s="36"/>
    </row>
    <row r="66" spans="1:24" ht="17.25" x14ac:dyDescent="0.35">
      <c r="A66" s="36"/>
      <c r="B66" s="36"/>
      <c r="C66" s="36"/>
      <c r="D66" s="36"/>
      <c r="E66" s="36"/>
      <c r="F66" s="36"/>
      <c r="G66" s="36"/>
      <c r="H66" s="36"/>
      <c r="I66" s="36"/>
      <c r="J66" s="36"/>
      <c r="K66" s="36"/>
      <c r="L66" s="36"/>
      <c r="M66" s="36"/>
      <c r="N66" s="36"/>
      <c r="O66" s="36"/>
      <c r="P66" s="36"/>
      <c r="Q66" s="36"/>
      <c r="R66" s="36"/>
      <c r="S66" s="36"/>
      <c r="T66" s="36"/>
      <c r="U66" s="36"/>
      <c r="V66" s="36"/>
      <c r="W66" s="36"/>
      <c r="X66" s="36"/>
    </row>
    <row r="67" spans="1:24" ht="17.25" x14ac:dyDescent="0.35">
      <c r="A67" s="36"/>
      <c r="B67" s="36"/>
      <c r="C67" s="36"/>
      <c r="D67" s="36"/>
      <c r="E67" s="36"/>
      <c r="F67" s="36"/>
      <c r="G67" s="36"/>
      <c r="H67" s="36"/>
      <c r="I67" s="36"/>
      <c r="J67" s="36"/>
      <c r="K67" s="36"/>
      <c r="L67" s="36"/>
      <c r="M67" s="36"/>
      <c r="N67" s="36"/>
      <c r="O67" s="36"/>
      <c r="P67" s="36"/>
      <c r="Q67" s="36"/>
      <c r="R67" s="36"/>
      <c r="S67" s="36"/>
      <c r="T67" s="36"/>
      <c r="U67" s="36"/>
      <c r="V67" s="36"/>
      <c r="W67" s="36"/>
      <c r="X67" s="36"/>
    </row>
    <row r="68" spans="1:24" ht="17.25" x14ac:dyDescent="0.35">
      <c r="A68" s="36"/>
      <c r="B68" s="36"/>
      <c r="C68" s="36"/>
      <c r="D68" s="36"/>
      <c r="E68" s="36"/>
      <c r="F68" s="36"/>
      <c r="G68" s="36"/>
      <c r="H68" s="36"/>
      <c r="I68" s="36"/>
      <c r="J68" s="36"/>
      <c r="K68" s="36"/>
      <c r="L68" s="36"/>
      <c r="M68" s="36"/>
      <c r="N68" s="36"/>
      <c r="O68" s="36"/>
      <c r="P68" s="36"/>
      <c r="Q68" s="36"/>
      <c r="R68" s="36"/>
      <c r="S68" s="36"/>
      <c r="T68" s="36"/>
      <c r="U68" s="36"/>
      <c r="V68" s="36"/>
      <c r="W68" s="36"/>
      <c r="X68" s="36"/>
    </row>
    <row r="69" spans="1:24" ht="17.25" x14ac:dyDescent="0.35">
      <c r="A69" s="36"/>
      <c r="B69" s="36"/>
      <c r="C69" s="36"/>
      <c r="D69" s="36"/>
      <c r="E69" s="36"/>
      <c r="F69" s="36"/>
      <c r="G69" s="36"/>
      <c r="H69" s="36"/>
      <c r="I69" s="36"/>
      <c r="J69" s="36"/>
      <c r="K69" s="36"/>
      <c r="L69" s="36"/>
      <c r="M69" s="36"/>
      <c r="N69" s="36"/>
      <c r="O69" s="36"/>
      <c r="P69" s="36"/>
      <c r="Q69" s="36"/>
      <c r="R69" s="36"/>
      <c r="S69" s="36"/>
      <c r="T69" s="36"/>
      <c r="U69" s="36"/>
      <c r="V69" s="36"/>
      <c r="W69" s="36"/>
      <c r="X69" s="36"/>
    </row>
    <row r="70" spans="1:24" ht="17.25" x14ac:dyDescent="0.35">
      <c r="A70" s="36"/>
      <c r="B70" s="36"/>
      <c r="C70" s="36"/>
      <c r="D70" s="36"/>
      <c r="E70" s="36"/>
      <c r="F70" s="36"/>
      <c r="G70" s="36"/>
      <c r="H70" s="36"/>
      <c r="I70" s="36"/>
      <c r="J70" s="36"/>
      <c r="K70" s="36"/>
      <c r="L70" s="36"/>
      <c r="M70" s="36"/>
      <c r="N70" s="36"/>
      <c r="O70" s="36"/>
      <c r="P70" s="36"/>
      <c r="Q70" s="36"/>
      <c r="R70" s="36"/>
      <c r="S70" s="36"/>
      <c r="T70" s="36"/>
      <c r="U70" s="36"/>
      <c r="V70" s="36"/>
      <c r="W70" s="36"/>
      <c r="X70" s="36"/>
    </row>
    <row r="71" spans="1:24" ht="17.25" x14ac:dyDescent="0.35">
      <c r="A71" s="36"/>
      <c r="B71" s="36"/>
      <c r="C71" s="36"/>
      <c r="D71" s="36"/>
      <c r="E71" s="36"/>
      <c r="F71" s="36"/>
      <c r="G71" s="36"/>
      <c r="H71" s="36"/>
      <c r="I71" s="36"/>
      <c r="J71" s="36"/>
      <c r="K71" s="36"/>
      <c r="L71" s="36"/>
      <c r="M71" s="36"/>
      <c r="N71" s="36"/>
      <c r="O71" s="36"/>
      <c r="P71" s="36"/>
      <c r="Q71" s="36"/>
      <c r="R71" s="36"/>
      <c r="S71" s="36"/>
      <c r="T71" s="36"/>
      <c r="U71" s="36"/>
      <c r="V71" s="36"/>
      <c r="W71" s="36"/>
      <c r="X71" s="36"/>
    </row>
    <row r="72" spans="1:24" ht="17.25" x14ac:dyDescent="0.35">
      <c r="A72" s="36"/>
      <c r="B72" s="36"/>
      <c r="C72" s="36"/>
      <c r="D72" s="36"/>
      <c r="E72" s="36"/>
      <c r="F72" s="36"/>
      <c r="G72" s="36"/>
      <c r="H72" s="36"/>
      <c r="I72" s="36"/>
      <c r="J72" s="36"/>
      <c r="K72" s="36"/>
      <c r="L72" s="36"/>
      <c r="M72" s="36"/>
      <c r="N72" s="36"/>
      <c r="O72" s="36"/>
      <c r="P72" s="36"/>
      <c r="Q72" s="36"/>
      <c r="R72" s="36"/>
      <c r="S72" s="36"/>
      <c r="T72" s="36"/>
      <c r="U72" s="36"/>
      <c r="V72" s="36"/>
      <c r="W72" s="36"/>
      <c r="X72" s="36"/>
    </row>
    <row r="73" spans="1:24" ht="17.25" x14ac:dyDescent="0.35">
      <c r="A73" s="36"/>
      <c r="B73" s="36"/>
      <c r="C73" s="36"/>
      <c r="D73" s="36"/>
      <c r="E73" s="36"/>
      <c r="F73" s="36"/>
      <c r="G73" s="36"/>
      <c r="H73" s="36"/>
      <c r="I73" s="36"/>
      <c r="J73" s="36"/>
      <c r="K73" s="36"/>
      <c r="L73" s="36"/>
      <c r="M73" s="36"/>
      <c r="N73" s="36"/>
      <c r="O73" s="36"/>
      <c r="P73" s="36"/>
      <c r="Q73" s="36"/>
      <c r="R73" s="36"/>
      <c r="S73" s="36"/>
      <c r="T73" s="36"/>
      <c r="U73" s="36"/>
      <c r="V73" s="36"/>
      <c r="W73" s="36"/>
      <c r="X73" s="36"/>
    </row>
    <row r="74" spans="1:24" ht="17.25" x14ac:dyDescent="0.35">
      <c r="A74" s="36"/>
      <c r="B74" s="36"/>
      <c r="C74" s="36"/>
      <c r="D74" s="36"/>
      <c r="E74" s="36"/>
      <c r="F74" s="36"/>
      <c r="G74" s="36"/>
      <c r="H74" s="36"/>
      <c r="I74" s="36"/>
      <c r="J74" s="36"/>
      <c r="K74" s="36"/>
      <c r="L74" s="36"/>
      <c r="M74" s="36"/>
      <c r="N74" s="36"/>
      <c r="O74" s="36"/>
      <c r="P74" s="36"/>
      <c r="Q74" s="36"/>
      <c r="R74" s="36"/>
      <c r="S74" s="36"/>
      <c r="T74" s="36"/>
      <c r="U74" s="36"/>
      <c r="V74" s="36"/>
      <c r="W74" s="36"/>
      <c r="X74" s="36"/>
    </row>
    <row r="75" spans="1:24" ht="17.25" x14ac:dyDescent="0.35">
      <c r="A75" s="36"/>
      <c r="B75" s="36"/>
      <c r="C75" s="36"/>
      <c r="D75" s="36"/>
      <c r="E75" s="36"/>
      <c r="F75" s="36"/>
      <c r="G75" s="36"/>
      <c r="H75" s="36"/>
      <c r="I75" s="36"/>
      <c r="J75" s="36"/>
      <c r="K75" s="36"/>
      <c r="L75" s="36"/>
      <c r="M75" s="36"/>
      <c r="N75" s="36"/>
      <c r="O75" s="36"/>
      <c r="P75" s="36"/>
      <c r="Q75" s="36"/>
      <c r="R75" s="36"/>
      <c r="S75" s="36"/>
      <c r="T75" s="36"/>
      <c r="U75" s="36"/>
      <c r="V75" s="36"/>
      <c r="W75" s="36"/>
      <c r="X75" s="36"/>
    </row>
  </sheetData>
  <sheetProtection sheet="1" objects="1" scenarios="1"/>
  <mergeCells count="13">
    <mergeCell ref="O26:Q26"/>
    <mergeCell ref="R19:S19"/>
    <mergeCell ref="T19:U19"/>
    <mergeCell ref="O20:V20"/>
    <mergeCell ref="O21:V21"/>
    <mergeCell ref="R22:S22"/>
    <mergeCell ref="T22:U22"/>
    <mergeCell ref="O4:V4"/>
    <mergeCell ref="R5:S5"/>
    <mergeCell ref="T5:U5"/>
    <mergeCell ref="O13:V13"/>
    <mergeCell ref="R15:S15"/>
    <mergeCell ref="T15:U15"/>
  </mergeCells>
  <conditionalFormatting sqref="R12:V12 V7:V11">
    <cfRule type="cellIs" dxfId="12" priority="14" operator="greaterThan">
      <formula>0</formula>
    </cfRule>
  </conditionalFormatting>
  <conditionalFormatting sqref="R12:V12 V7:V11">
    <cfRule type="cellIs" dxfId="11" priority="13" operator="lessThan">
      <formula>0</formula>
    </cfRule>
  </conditionalFormatting>
  <conditionalFormatting sqref="T9">
    <cfRule type="containsErrors" dxfId="10" priority="11">
      <formula>ISERROR(T9)</formula>
    </cfRule>
  </conditionalFormatting>
  <conditionalFormatting sqref="R7:V11 R16:V18 R24:V25">
    <cfRule type="containsErrors" dxfId="9" priority="10">
      <formula>ISERROR(R7)</formula>
    </cfRule>
  </conditionalFormatting>
  <conditionalFormatting sqref="R12:V12 R19:V19 R26:V26">
    <cfRule type="containsErrors" dxfId="8" priority="9">
      <formula>ISERROR(R12)</formula>
    </cfRule>
  </conditionalFormatting>
  <conditionalFormatting sqref="V16:V18">
    <cfRule type="cellIs" dxfId="7" priority="7" operator="greaterThan">
      <formula>0</formula>
    </cfRule>
    <cfRule type="cellIs" dxfId="6" priority="8" operator="lessThan">
      <formula>0</formula>
    </cfRule>
  </conditionalFormatting>
  <conditionalFormatting sqref="R19:S19">
    <cfRule type="cellIs" dxfId="5" priority="6" operator="lessThan">
      <formula>$S$16</formula>
    </cfRule>
  </conditionalFormatting>
  <conditionalFormatting sqref="T19:U19">
    <cfRule type="cellIs" dxfId="4" priority="5" operator="lessThan">
      <formula>$U$16</formula>
    </cfRule>
  </conditionalFormatting>
  <conditionalFormatting sqref="R24:R25 T24:T25 V24:V25">
    <cfRule type="cellIs" dxfId="3" priority="3" operator="greaterThan">
      <formula>0</formula>
    </cfRule>
    <cfRule type="cellIs" dxfId="2" priority="4" operator="lessThan">
      <formula>0</formula>
    </cfRule>
  </conditionalFormatting>
  <conditionalFormatting sqref="R26 T26 V26">
    <cfRule type="cellIs" dxfId="1" priority="1" operator="greaterThan">
      <formula>0</formula>
    </cfRule>
    <cfRule type="cellIs" dxfId="0" priority="2" operator="lessThan">
      <formula>0</formula>
    </cfRule>
  </conditionalFormatting>
  <dataValidations count="5">
    <dataValidation type="list" allowBlank="1" showInputMessage="1" showErrorMessage="1" sqref="F20 J20">
      <formula1>$L$36:$L$39</formula1>
    </dataValidation>
    <dataValidation type="list" allowBlank="1" showInputMessage="1" showErrorMessage="1" sqref="F17 J17">
      <formula1>$J$36:$J$39</formula1>
    </dataValidation>
    <dataValidation type="list" allowBlank="1" showInputMessage="1" showErrorMessage="1" sqref="F14 J14">
      <formula1>$H$36:$H$40</formula1>
    </dataValidation>
    <dataValidation type="list" allowBlank="1" showInputMessage="1" showErrorMessage="1" sqref="F11 J11">
      <formula1>$F$36:$F$40</formula1>
    </dataValidation>
    <dataValidation type="list" allowBlank="1" showInputMessage="1" showErrorMessage="1" sqref="F8 J8">
      <formula1>$C$36:$C$39</formula1>
    </dataValidation>
  </dataValidations>
  <pageMargins left="0.7" right="0.7" top="0.75" bottom="0.75" header="0.3" footer="0.3"/>
  <pageSetup paperSize="9" orientation="landscape" r:id="rId1"/>
  <ignoredErrors>
    <ignoredError sqref="T24:T26 V9 T7 T10:T12 S24 S26" formula="1"/>
    <ignoredError sqref="S7 S12" evalError="1" formula="1"/>
    <ignoredError sqref="S10:S11 U7 U10:U12"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autoPageBreaks="0"/>
  </sheetPr>
  <dimension ref="A1:X256"/>
  <sheetViews>
    <sheetView tabSelected="1" zoomScale="85" zoomScaleNormal="85" workbookViewId="0">
      <selection activeCell="G143" sqref="G143"/>
    </sheetView>
  </sheetViews>
  <sheetFormatPr defaultRowHeight="15" x14ac:dyDescent="0.25"/>
  <cols>
    <col min="1" max="1" width="3.85546875" customWidth="1"/>
    <col min="2" max="2" width="6.140625" customWidth="1"/>
    <col min="3" max="3" width="36.28515625" customWidth="1"/>
    <col min="4" max="5" width="26.85546875" customWidth="1"/>
    <col min="6" max="6" width="43.42578125" customWidth="1"/>
    <col min="7" max="7" width="62.28515625" customWidth="1"/>
    <col min="8" max="8" width="23.42578125" bestFit="1" customWidth="1"/>
    <col min="9" max="9" width="15.85546875" customWidth="1"/>
    <col min="10" max="10" width="21.7109375" customWidth="1"/>
    <col min="11" max="11" width="30.42578125" customWidth="1"/>
    <col min="12" max="12" width="13.5703125" customWidth="1"/>
    <col min="13" max="13" width="10.85546875" customWidth="1"/>
    <col min="14" max="14" width="11.140625" bestFit="1" customWidth="1"/>
    <col min="15" max="15" width="7.42578125" customWidth="1"/>
    <col min="19" max="19" width="9.140625" customWidth="1"/>
    <col min="20" max="20" width="10.5703125" bestFit="1" customWidth="1"/>
  </cols>
  <sheetData>
    <row r="1" spans="1:11" ht="33.75" x14ac:dyDescent="0.5">
      <c r="A1" s="59" t="s">
        <v>47</v>
      </c>
      <c r="B1" s="59"/>
      <c r="C1" s="41"/>
      <c r="D1" s="41"/>
      <c r="E1" s="41"/>
      <c r="F1" s="41"/>
      <c r="G1" s="41"/>
      <c r="H1" s="41"/>
      <c r="I1" s="41"/>
    </row>
    <row r="2" spans="1:11" x14ac:dyDescent="0.25">
      <c r="C2" s="44"/>
      <c r="J2" s="1" t="s">
        <v>54</v>
      </c>
    </row>
    <row r="3" spans="1:11" x14ac:dyDescent="0.25">
      <c r="C3" s="69"/>
      <c r="J3" s="256"/>
      <c r="K3" t="s">
        <v>122</v>
      </c>
    </row>
    <row r="4" spans="1:11" x14ac:dyDescent="0.25">
      <c r="J4" s="64"/>
      <c r="K4" t="s">
        <v>52</v>
      </c>
    </row>
    <row r="5" spans="1:11" x14ac:dyDescent="0.25">
      <c r="A5" s="85"/>
      <c r="B5" s="40" t="s">
        <v>183</v>
      </c>
      <c r="C5" s="40"/>
      <c r="D5" s="40"/>
      <c r="E5" s="40"/>
      <c r="F5" s="40"/>
      <c r="G5" s="40"/>
      <c r="H5" s="40"/>
      <c r="J5" s="66"/>
      <c r="K5" t="s">
        <v>51</v>
      </c>
    </row>
    <row r="6" spans="1:11" x14ac:dyDescent="0.25">
      <c r="A6" s="85"/>
    </row>
    <row r="7" spans="1:11" x14ac:dyDescent="0.25">
      <c r="A7" s="85"/>
      <c r="C7" s="90" t="s">
        <v>121</v>
      </c>
      <c r="D7" s="90" t="s">
        <v>41</v>
      </c>
      <c r="E7" s="155" t="s">
        <v>263</v>
      </c>
      <c r="F7" s="38" t="s">
        <v>181</v>
      </c>
      <c r="G7" s="430" t="s">
        <v>188</v>
      </c>
      <c r="H7" s="39" t="s">
        <v>182</v>
      </c>
      <c r="I7" s="166" t="s">
        <v>189</v>
      </c>
      <c r="J7" s="44"/>
    </row>
    <row r="8" spans="1:11" x14ac:dyDescent="0.25">
      <c r="A8" s="85"/>
      <c r="B8">
        <v>1.1000000000000001</v>
      </c>
      <c r="C8" s="21" t="s">
        <v>22</v>
      </c>
      <c r="D8" s="361">
        <v>1000</v>
      </c>
      <c r="E8" s="362">
        <v>500</v>
      </c>
      <c r="F8" s="5" t="s">
        <v>264</v>
      </c>
      <c r="G8" s="351">
        <v>0</v>
      </c>
      <c r="H8" s="4">
        <v>0</v>
      </c>
      <c r="I8" s="190">
        <v>0</v>
      </c>
      <c r="J8" s="44"/>
    </row>
    <row r="9" spans="1:11" x14ac:dyDescent="0.25">
      <c r="A9" s="85"/>
      <c r="B9">
        <v>1.2</v>
      </c>
      <c r="C9" s="42" t="s">
        <v>184</v>
      </c>
      <c r="D9" s="361">
        <v>4000</v>
      </c>
      <c r="E9" s="361">
        <v>1000</v>
      </c>
      <c r="F9" s="5" t="s">
        <v>186</v>
      </c>
      <c r="G9" s="351">
        <v>8000</v>
      </c>
      <c r="H9" s="4">
        <v>0.3</v>
      </c>
      <c r="I9" s="137">
        <v>5</v>
      </c>
      <c r="J9" s="44"/>
    </row>
    <row r="10" spans="1:11" x14ac:dyDescent="0.25">
      <c r="A10" s="85"/>
      <c r="B10">
        <v>1.3</v>
      </c>
      <c r="C10" s="42" t="s">
        <v>185</v>
      </c>
      <c r="D10" s="361">
        <v>3000</v>
      </c>
      <c r="E10" s="361">
        <v>1000</v>
      </c>
      <c r="F10" s="5" t="s">
        <v>186</v>
      </c>
      <c r="G10" s="351">
        <v>8000</v>
      </c>
      <c r="H10" s="206">
        <v>0.3</v>
      </c>
      <c r="I10" s="137">
        <v>5</v>
      </c>
      <c r="J10" s="44"/>
    </row>
    <row r="11" spans="1:11" x14ac:dyDescent="0.25">
      <c r="A11" s="85"/>
      <c r="B11">
        <v>1.4</v>
      </c>
      <c r="C11" s="138" t="s">
        <v>200</v>
      </c>
      <c r="D11" s="208"/>
      <c r="E11" s="18"/>
      <c r="F11" s="208">
        <v>1</v>
      </c>
      <c r="G11" s="207"/>
      <c r="H11" s="83"/>
      <c r="I11" s="139"/>
      <c r="J11" s="44"/>
    </row>
    <row r="12" spans="1:11" x14ac:dyDescent="0.25">
      <c r="A12" s="85"/>
      <c r="H12" s="44"/>
      <c r="I12" s="44"/>
      <c r="J12" s="44"/>
    </row>
    <row r="13" spans="1:11" x14ac:dyDescent="0.25">
      <c r="A13" s="85"/>
      <c r="B13" s="40" t="s">
        <v>176</v>
      </c>
      <c r="C13" s="40"/>
      <c r="D13" s="40"/>
      <c r="E13" s="40"/>
      <c r="F13" s="40"/>
      <c r="G13" s="40"/>
      <c r="H13" s="40"/>
      <c r="I13" s="43"/>
      <c r="J13" s="44"/>
    </row>
    <row r="14" spans="1:11" x14ac:dyDescent="0.25">
      <c r="A14" s="85"/>
      <c r="C14" s="1" t="s">
        <v>74</v>
      </c>
      <c r="H14" s="44"/>
      <c r="I14" s="44"/>
      <c r="J14" s="44"/>
    </row>
    <row r="15" spans="1:11" x14ac:dyDescent="0.25">
      <c r="A15" s="85"/>
      <c r="C15" s="21"/>
      <c r="D15" s="426" t="s">
        <v>0</v>
      </c>
      <c r="E15" s="426"/>
      <c r="F15" s="426"/>
      <c r="G15" s="427"/>
    </row>
    <row r="16" spans="1:11" x14ac:dyDescent="0.25">
      <c r="A16" s="85"/>
      <c r="C16" s="42"/>
      <c r="D16" s="33" t="s">
        <v>1</v>
      </c>
      <c r="E16" s="33" t="s">
        <v>44</v>
      </c>
      <c r="F16" s="33" t="s">
        <v>45</v>
      </c>
      <c r="G16" s="3" t="s">
        <v>2</v>
      </c>
      <c r="H16" s="350"/>
      <c r="I16" s="60" t="s">
        <v>104</v>
      </c>
    </row>
    <row r="17" spans="1:11" x14ac:dyDescent="0.25">
      <c r="A17" s="85"/>
      <c r="B17">
        <v>2.1</v>
      </c>
      <c r="C17" s="63" t="s">
        <v>48</v>
      </c>
      <c r="D17" s="163">
        <v>1000</v>
      </c>
      <c r="E17" s="163">
        <v>2500</v>
      </c>
      <c r="F17" s="163">
        <v>5000</v>
      </c>
      <c r="G17" s="164">
        <v>8000</v>
      </c>
      <c r="H17" s="286"/>
      <c r="I17" s="61" t="s">
        <v>105</v>
      </c>
    </row>
    <row r="18" spans="1:11" x14ac:dyDescent="0.25">
      <c r="A18" s="85"/>
      <c r="B18">
        <v>2.2000000000000002</v>
      </c>
      <c r="C18" s="63" t="s">
        <v>49</v>
      </c>
      <c r="D18" s="331">
        <v>0.16</v>
      </c>
      <c r="E18" s="331">
        <v>0.1</v>
      </c>
      <c r="F18" s="331">
        <v>0.08</v>
      </c>
      <c r="G18" s="332">
        <v>0.08</v>
      </c>
      <c r="H18" s="149"/>
      <c r="I18" s="61" t="s">
        <v>106</v>
      </c>
      <c r="J18" s="61"/>
    </row>
    <row r="19" spans="1:11" x14ac:dyDescent="0.25">
      <c r="A19" s="85"/>
      <c r="B19">
        <v>2.2999999999999998</v>
      </c>
      <c r="C19" s="62" t="s">
        <v>50</v>
      </c>
      <c r="D19" s="67">
        <f>D17*D18</f>
        <v>160</v>
      </c>
      <c r="E19" s="67">
        <f t="shared" ref="E19:G19" si="0">E17*E18</f>
        <v>250</v>
      </c>
      <c r="F19" s="67">
        <f t="shared" si="0"/>
        <v>400</v>
      </c>
      <c r="G19" s="68">
        <f t="shared" si="0"/>
        <v>640</v>
      </c>
      <c r="I19" s="61" t="s">
        <v>107</v>
      </c>
      <c r="J19" s="61"/>
    </row>
    <row r="20" spans="1:11" x14ac:dyDescent="0.25">
      <c r="A20" s="85"/>
      <c r="C20" s="70"/>
      <c r="D20" s="5"/>
      <c r="E20" s="5"/>
      <c r="F20" s="5"/>
      <c r="G20" s="5"/>
      <c r="H20" s="4"/>
      <c r="I20" s="61"/>
    </row>
    <row r="21" spans="1:11" x14ac:dyDescent="0.25">
      <c r="A21" s="85"/>
      <c r="B21" s="40" t="s">
        <v>177</v>
      </c>
      <c r="C21" s="40"/>
      <c r="D21" s="40"/>
      <c r="E21" s="40"/>
      <c r="F21" s="40"/>
      <c r="G21" s="40"/>
      <c r="H21" s="40"/>
    </row>
    <row r="22" spans="1:11" x14ac:dyDescent="0.25">
      <c r="A22" s="85"/>
      <c r="C22" s="69" t="s">
        <v>53</v>
      </c>
    </row>
    <row r="23" spans="1:11" x14ac:dyDescent="0.25">
      <c r="A23" s="85"/>
      <c r="C23" s="423" t="s">
        <v>55</v>
      </c>
      <c r="D23" s="425" t="s">
        <v>0</v>
      </c>
      <c r="E23" s="426"/>
      <c r="F23" s="426"/>
      <c r="G23" s="427"/>
    </row>
    <row r="24" spans="1:11" x14ac:dyDescent="0.25">
      <c r="A24" s="85"/>
      <c r="C24" s="424"/>
      <c r="D24" s="33" t="s">
        <v>1</v>
      </c>
      <c r="E24" s="33" t="s">
        <v>44</v>
      </c>
      <c r="F24" s="33" t="s">
        <v>45</v>
      </c>
      <c r="G24" s="3" t="s">
        <v>2</v>
      </c>
      <c r="I24" s="135" t="s">
        <v>108</v>
      </c>
    </row>
    <row r="25" spans="1:11" x14ac:dyDescent="0.25">
      <c r="A25" s="85"/>
      <c r="B25">
        <v>3.1</v>
      </c>
      <c r="C25" s="63" t="s">
        <v>7</v>
      </c>
      <c r="D25" s="264">
        <v>0</v>
      </c>
      <c r="E25" s="264">
        <v>0.05</v>
      </c>
      <c r="F25" s="264">
        <v>0.25</v>
      </c>
      <c r="G25" s="265">
        <v>0.6</v>
      </c>
      <c r="I25" s="61" t="s">
        <v>109</v>
      </c>
    </row>
    <row r="26" spans="1:11" x14ac:dyDescent="0.25">
      <c r="A26" s="85"/>
      <c r="B26">
        <v>3.2</v>
      </c>
      <c r="C26" s="63" t="s">
        <v>8</v>
      </c>
      <c r="D26" s="264">
        <v>0.05</v>
      </c>
      <c r="E26" s="264">
        <v>0.1</v>
      </c>
      <c r="F26" s="264">
        <v>0.5</v>
      </c>
      <c r="G26" s="265">
        <v>0.3</v>
      </c>
      <c r="I26" s="61"/>
    </row>
    <row r="27" spans="1:11" x14ac:dyDescent="0.25">
      <c r="A27" s="85"/>
      <c r="B27">
        <v>3.3</v>
      </c>
      <c r="C27" s="63" t="s">
        <v>216</v>
      </c>
      <c r="D27" s="264">
        <v>0.3</v>
      </c>
      <c r="E27" s="264">
        <v>0.55000000000000004</v>
      </c>
      <c r="F27" s="264">
        <v>0.15</v>
      </c>
      <c r="G27" s="265">
        <v>0.1</v>
      </c>
      <c r="I27" s="61"/>
    </row>
    <row r="28" spans="1:11" x14ac:dyDescent="0.25">
      <c r="A28" s="85"/>
      <c r="B28">
        <v>3.4</v>
      </c>
      <c r="C28" s="203" t="s">
        <v>218</v>
      </c>
      <c r="D28" s="266">
        <v>0.65</v>
      </c>
      <c r="E28" s="266">
        <v>0.3</v>
      </c>
      <c r="F28" s="266">
        <v>0.1</v>
      </c>
      <c r="G28" s="267">
        <v>0</v>
      </c>
      <c r="I28" s="61"/>
    </row>
    <row r="29" spans="1:11" x14ac:dyDescent="0.25">
      <c r="A29" s="85"/>
      <c r="C29" s="72"/>
      <c r="D29" s="71"/>
      <c r="E29" s="71"/>
      <c r="F29" s="71"/>
      <c r="G29" s="71"/>
      <c r="I29" s="61"/>
    </row>
    <row r="30" spans="1:11" x14ac:dyDescent="0.25">
      <c r="A30" s="85"/>
      <c r="C30" s="69" t="s">
        <v>56</v>
      </c>
    </row>
    <row r="31" spans="1:11" x14ac:dyDescent="0.25">
      <c r="A31" s="85"/>
      <c r="C31" s="6" t="s">
        <v>10</v>
      </c>
      <c r="D31" s="6" t="s">
        <v>11</v>
      </c>
      <c r="E31" s="8" t="s">
        <v>253</v>
      </c>
      <c r="F31" s="7" t="s">
        <v>12</v>
      </c>
      <c r="G31" s="84" t="s">
        <v>267</v>
      </c>
      <c r="H31" s="45" t="s">
        <v>265</v>
      </c>
      <c r="I31" s="46" t="s">
        <v>266</v>
      </c>
      <c r="J31" s="46" t="s">
        <v>258</v>
      </c>
      <c r="K31" s="61" t="s">
        <v>112</v>
      </c>
    </row>
    <row r="32" spans="1:11" x14ac:dyDescent="0.25">
      <c r="A32" s="85"/>
      <c r="B32">
        <v>3.5</v>
      </c>
      <c r="C32" s="9" t="s">
        <v>57</v>
      </c>
      <c r="D32" s="352">
        <v>8</v>
      </c>
      <c r="E32" s="77">
        <v>0.2</v>
      </c>
      <c r="F32" s="354">
        <f>D32/(1-E32)</f>
        <v>10</v>
      </c>
      <c r="G32" s="81" t="s">
        <v>57</v>
      </c>
      <c r="H32" s="356">
        <f>D32</f>
        <v>8</v>
      </c>
      <c r="I32" s="357">
        <f>F32</f>
        <v>10</v>
      </c>
      <c r="J32" s="360">
        <f>(I32-H32)/I32</f>
        <v>0.2</v>
      </c>
    </row>
    <row r="33" spans="1:11" x14ac:dyDescent="0.25">
      <c r="A33" s="85"/>
      <c r="B33">
        <v>3.6</v>
      </c>
      <c r="C33" s="9" t="s">
        <v>58</v>
      </c>
      <c r="D33" s="352">
        <v>10</v>
      </c>
      <c r="E33" s="77">
        <v>0.1</v>
      </c>
      <c r="F33" s="354">
        <f t="shared" ref="F33:F39" si="1">D33/(1-E33)</f>
        <v>11.111111111111111</v>
      </c>
      <c r="G33" s="81" t="s">
        <v>229</v>
      </c>
      <c r="H33" s="356">
        <f>D32+D34+D36</f>
        <v>12.5</v>
      </c>
      <c r="I33" s="357">
        <f>F32+F34+F36</f>
        <v>16.071428571428569</v>
      </c>
      <c r="J33" s="360">
        <f t="shared" ref="J33:J35" si="2">(I33-H33)/I33</f>
        <v>0.22222222222222213</v>
      </c>
      <c r="K33" s="149"/>
    </row>
    <row r="34" spans="1:11" x14ac:dyDescent="0.25">
      <c r="A34" s="85"/>
      <c r="B34">
        <v>3.7</v>
      </c>
      <c r="C34" s="9" t="s">
        <v>59</v>
      </c>
      <c r="D34" s="352">
        <v>2.5</v>
      </c>
      <c r="E34" s="77">
        <v>0.3</v>
      </c>
      <c r="F34" s="354">
        <f t="shared" si="1"/>
        <v>3.5714285714285716</v>
      </c>
      <c r="G34" s="81" t="s">
        <v>217</v>
      </c>
      <c r="H34" s="356">
        <f>D33+D34+D36+D37+D38</f>
        <v>30</v>
      </c>
      <c r="I34" s="357">
        <f>F33+F34+F36+F37+F38</f>
        <v>39.325396825396822</v>
      </c>
      <c r="J34" s="360">
        <f t="shared" si="2"/>
        <v>0.23713420787083747</v>
      </c>
      <c r="K34" s="149"/>
    </row>
    <row r="35" spans="1:11" x14ac:dyDescent="0.25">
      <c r="A35" s="85"/>
      <c r="B35">
        <v>3.8</v>
      </c>
      <c r="C35" s="9" t="s">
        <v>60</v>
      </c>
      <c r="D35" s="352">
        <v>6</v>
      </c>
      <c r="E35" s="77">
        <v>0.25</v>
      </c>
      <c r="F35" s="354">
        <f t="shared" si="1"/>
        <v>8</v>
      </c>
      <c r="G35" s="81" t="s">
        <v>219</v>
      </c>
      <c r="H35" s="356">
        <f>D33+D35+D36+D37+D38+D39</f>
        <v>113.5</v>
      </c>
      <c r="I35" s="357">
        <f>F33+F35+F36+F37+F38+F39</f>
        <v>143.75396825396825</v>
      </c>
      <c r="J35" s="360">
        <f t="shared" si="2"/>
        <v>0.21045657814829127</v>
      </c>
      <c r="K35" s="152"/>
    </row>
    <row r="36" spans="1:11" x14ac:dyDescent="0.25">
      <c r="A36" s="85"/>
      <c r="B36">
        <v>3.9</v>
      </c>
      <c r="C36" s="9" t="s">
        <v>61</v>
      </c>
      <c r="D36" s="352">
        <v>2</v>
      </c>
      <c r="E36" s="77">
        <v>0.2</v>
      </c>
      <c r="F36" s="354">
        <f t="shared" si="1"/>
        <v>2.5</v>
      </c>
      <c r="G36" s="81"/>
      <c r="H36" s="356"/>
      <c r="I36" s="357"/>
      <c r="J36" s="357"/>
      <c r="K36" s="149"/>
    </row>
    <row r="37" spans="1:11" x14ac:dyDescent="0.25">
      <c r="A37" s="85"/>
      <c r="B37" s="162">
        <v>3.1</v>
      </c>
      <c r="C37" s="9" t="s">
        <v>62</v>
      </c>
      <c r="D37" s="352">
        <v>12</v>
      </c>
      <c r="E37" s="77">
        <v>0.3</v>
      </c>
      <c r="F37" s="354">
        <f t="shared" si="1"/>
        <v>17.142857142857142</v>
      </c>
      <c r="G37" s="81"/>
      <c r="H37" s="356"/>
      <c r="I37" s="357"/>
      <c r="J37" s="357"/>
    </row>
    <row r="38" spans="1:11" x14ac:dyDescent="0.25">
      <c r="A38" s="85"/>
      <c r="B38">
        <v>3.11</v>
      </c>
      <c r="C38" s="9" t="s">
        <v>63</v>
      </c>
      <c r="D38" s="352">
        <v>3.5</v>
      </c>
      <c r="E38" s="77">
        <v>0.3</v>
      </c>
      <c r="F38" s="354">
        <f t="shared" si="1"/>
        <v>5</v>
      </c>
      <c r="G38" s="81"/>
      <c r="H38" s="356"/>
      <c r="I38" s="357"/>
      <c r="J38" s="357"/>
    </row>
    <row r="39" spans="1:11" x14ac:dyDescent="0.25">
      <c r="A39" s="85"/>
      <c r="B39">
        <v>3.12</v>
      </c>
      <c r="C39" s="12" t="s">
        <v>64</v>
      </c>
      <c r="D39" s="353">
        <v>80</v>
      </c>
      <c r="E39" s="78">
        <v>0.2</v>
      </c>
      <c r="F39" s="355">
        <f t="shared" si="1"/>
        <v>100</v>
      </c>
      <c r="G39" s="82"/>
      <c r="H39" s="358"/>
      <c r="I39" s="359"/>
      <c r="J39" s="359"/>
    </row>
    <row r="40" spans="1:11" x14ac:dyDescent="0.25">
      <c r="A40" s="85"/>
      <c r="B40" s="144"/>
      <c r="C40" s="104"/>
      <c r="D40" s="16"/>
      <c r="E40" s="19"/>
      <c r="F40" s="145"/>
      <c r="G40" s="16"/>
      <c r="H40" s="143"/>
      <c r="I40" s="16"/>
    </row>
    <row r="41" spans="1:11" x14ac:dyDescent="0.25">
      <c r="A41" s="85"/>
      <c r="B41" s="44"/>
      <c r="C41" s="15"/>
      <c r="D41" s="10"/>
      <c r="E41" s="16"/>
      <c r="F41" s="16"/>
      <c r="G41" s="43"/>
      <c r="H41" s="44"/>
      <c r="I41" s="44"/>
    </row>
    <row r="42" spans="1:11" x14ac:dyDescent="0.25">
      <c r="A42" s="85"/>
      <c r="B42" s="40" t="s">
        <v>178</v>
      </c>
      <c r="C42" s="40"/>
      <c r="D42" s="40"/>
      <c r="E42" s="40"/>
      <c r="F42" s="40"/>
      <c r="G42" s="40"/>
    </row>
    <row r="43" spans="1:11" x14ac:dyDescent="0.25">
      <c r="A43" s="85"/>
      <c r="C43" s="69" t="s">
        <v>259</v>
      </c>
      <c r="D43" s="16"/>
      <c r="E43" s="19"/>
      <c r="F43" s="145"/>
      <c r="G43" s="16"/>
    </row>
    <row r="44" spans="1:11" x14ac:dyDescent="0.25">
      <c r="A44" s="85"/>
      <c r="C44" s="423" t="s">
        <v>55</v>
      </c>
      <c r="D44" s="425" t="s">
        <v>0</v>
      </c>
      <c r="E44" s="426"/>
      <c r="F44" s="426"/>
      <c r="G44" s="427"/>
    </row>
    <row r="45" spans="1:11" x14ac:dyDescent="0.25">
      <c r="A45" s="85"/>
      <c r="C45" s="424"/>
      <c r="D45" s="148" t="s">
        <v>260</v>
      </c>
      <c r="E45" s="33" t="s">
        <v>44</v>
      </c>
      <c r="F45" s="33" t="s">
        <v>45</v>
      </c>
      <c r="G45" s="3" t="s">
        <v>2</v>
      </c>
      <c r="I45" s="61" t="s">
        <v>113</v>
      </c>
    </row>
    <row r="46" spans="1:11" x14ac:dyDescent="0.25">
      <c r="A46" s="85"/>
      <c r="B46">
        <v>4.0999999999999996</v>
      </c>
      <c r="C46" s="204" t="s">
        <v>7</v>
      </c>
      <c r="D46" s="363">
        <v>0</v>
      </c>
      <c r="E46" s="364">
        <v>-2.5000000000000001E-2</v>
      </c>
      <c r="F46" s="363">
        <v>-0.05</v>
      </c>
      <c r="G46" s="364">
        <v>-0.1</v>
      </c>
      <c r="I46" s="61" t="s">
        <v>114</v>
      </c>
    </row>
    <row r="47" spans="1:11" x14ac:dyDescent="0.25">
      <c r="A47" s="85"/>
      <c r="B47">
        <v>4.2</v>
      </c>
      <c r="C47" s="204" t="s">
        <v>8</v>
      </c>
      <c r="D47" s="365">
        <v>0</v>
      </c>
      <c r="E47" s="366">
        <v>-2.5000000000000001E-2</v>
      </c>
      <c r="F47" s="365">
        <v>-0.05</v>
      </c>
      <c r="G47" s="366">
        <v>-0.1</v>
      </c>
      <c r="I47" s="61" t="s">
        <v>110</v>
      </c>
    </row>
    <row r="48" spans="1:11" x14ac:dyDescent="0.25">
      <c r="A48" s="85"/>
      <c r="B48">
        <v>4.3</v>
      </c>
      <c r="C48" s="204" t="s">
        <v>216</v>
      </c>
      <c r="D48" s="365">
        <v>0</v>
      </c>
      <c r="E48" s="366">
        <v>-0.1</v>
      </c>
      <c r="F48" s="365">
        <v>-0.15</v>
      </c>
      <c r="G48" s="366">
        <v>-0.2</v>
      </c>
    </row>
    <row r="49" spans="1:9" x14ac:dyDescent="0.25">
      <c r="A49" s="85"/>
      <c r="B49">
        <v>4.4000000000000004</v>
      </c>
      <c r="C49" s="205" t="s">
        <v>218</v>
      </c>
      <c r="D49" s="367">
        <v>0</v>
      </c>
      <c r="E49" s="368">
        <v>-0.1</v>
      </c>
      <c r="F49" s="367">
        <v>-0.15</v>
      </c>
      <c r="G49" s="368">
        <v>-0.2</v>
      </c>
    </row>
    <row r="50" spans="1:9" x14ac:dyDescent="0.25">
      <c r="A50" s="85"/>
      <c r="C50" s="158"/>
      <c r="D50" s="159"/>
      <c r="E50" s="159"/>
      <c r="F50" s="159"/>
      <c r="G50" s="159"/>
    </row>
    <row r="51" spans="1:9" x14ac:dyDescent="0.25">
      <c r="A51" s="85"/>
      <c r="C51" s="69" t="s">
        <v>261</v>
      </c>
      <c r="D51" s="159"/>
      <c r="E51" s="159"/>
      <c r="F51" s="159"/>
      <c r="G51" s="159"/>
    </row>
    <row r="52" spans="1:9" x14ac:dyDescent="0.25">
      <c r="A52" s="85"/>
      <c r="C52" s="428" t="s">
        <v>55</v>
      </c>
      <c r="D52" s="418" t="s">
        <v>0</v>
      </c>
      <c r="E52" s="418"/>
      <c r="F52" s="418"/>
      <c r="G52" s="419"/>
    </row>
    <row r="53" spans="1:9" x14ac:dyDescent="0.25">
      <c r="A53" s="85"/>
      <c r="C53" s="429"/>
      <c r="D53" s="268" t="s">
        <v>1</v>
      </c>
      <c r="E53" s="269" t="s">
        <v>44</v>
      </c>
      <c r="F53" s="268" t="s">
        <v>45</v>
      </c>
      <c r="G53" s="270" t="s">
        <v>2</v>
      </c>
    </row>
    <row r="54" spans="1:9" x14ac:dyDescent="0.25">
      <c r="A54" s="85"/>
      <c r="B54">
        <v>4.5</v>
      </c>
      <c r="C54" s="271" t="s">
        <v>7</v>
      </c>
      <c r="D54" s="369">
        <v>0</v>
      </c>
      <c r="E54" s="370">
        <v>2.5000000000000001E-3</v>
      </c>
      <c r="F54" s="369">
        <v>5.0000000000000001E-3</v>
      </c>
      <c r="G54" s="371">
        <v>0.05</v>
      </c>
    </row>
    <row r="55" spans="1:9" x14ac:dyDescent="0.25">
      <c r="A55" s="85"/>
      <c r="B55">
        <v>4.5999999999999996</v>
      </c>
      <c r="C55" s="271" t="s">
        <v>8</v>
      </c>
      <c r="D55" s="369">
        <v>0</v>
      </c>
      <c r="E55" s="370">
        <v>2.5000000000000001E-3</v>
      </c>
      <c r="F55" s="369">
        <v>5.0000000000000001E-3</v>
      </c>
      <c r="G55" s="371">
        <v>0.02</v>
      </c>
    </row>
    <row r="56" spans="1:9" x14ac:dyDescent="0.25">
      <c r="A56" s="85"/>
      <c r="B56">
        <v>4.7</v>
      </c>
      <c r="C56" s="271" t="s">
        <v>216</v>
      </c>
      <c r="D56" s="369">
        <v>5.0000000000000001E-3</v>
      </c>
      <c r="E56" s="370">
        <v>0.01</v>
      </c>
      <c r="F56" s="369">
        <v>2.5000000000000001E-3</v>
      </c>
      <c r="G56" s="371">
        <v>0</v>
      </c>
    </row>
    <row r="57" spans="1:9" x14ac:dyDescent="0.25">
      <c r="A57" s="85"/>
      <c r="B57">
        <v>4.8</v>
      </c>
      <c r="C57" s="272" t="s">
        <v>218</v>
      </c>
      <c r="D57" s="372">
        <v>0.01</v>
      </c>
      <c r="E57" s="373">
        <v>5.0000000000000001E-3</v>
      </c>
      <c r="F57" s="372">
        <v>0</v>
      </c>
      <c r="G57" s="374">
        <v>0</v>
      </c>
    </row>
    <row r="58" spans="1:9" x14ac:dyDescent="0.25">
      <c r="A58" s="85"/>
      <c r="C58" s="158"/>
      <c r="D58" s="159"/>
      <c r="E58" s="159"/>
      <c r="F58" s="159"/>
      <c r="G58" s="159"/>
    </row>
    <row r="59" spans="1:9" x14ac:dyDescent="0.25">
      <c r="A59" s="85"/>
      <c r="C59" s="23" t="s">
        <v>180</v>
      </c>
      <c r="D59" s="5"/>
      <c r="E59" s="4"/>
      <c r="F59" s="4"/>
      <c r="G59" s="4"/>
      <c r="H59" s="4"/>
    </row>
    <row r="60" spans="1:9" x14ac:dyDescent="0.25">
      <c r="A60" s="85"/>
      <c r="C60" s="407"/>
      <c r="D60" s="418" t="s">
        <v>0</v>
      </c>
      <c r="E60" s="418"/>
      <c r="F60" s="418"/>
      <c r="G60" s="419"/>
      <c r="H60" s="4"/>
    </row>
    <row r="61" spans="1:9" x14ac:dyDescent="0.25">
      <c r="A61" s="85"/>
      <c r="C61" s="408"/>
      <c r="D61" s="33" t="s">
        <v>1</v>
      </c>
      <c r="E61" s="33" t="s">
        <v>44</v>
      </c>
      <c r="F61" s="33" t="s">
        <v>45</v>
      </c>
      <c r="G61" s="33" t="s">
        <v>2</v>
      </c>
      <c r="H61" s="4"/>
    </row>
    <row r="62" spans="1:9" x14ac:dyDescent="0.25">
      <c r="A62" s="85"/>
      <c r="B62" s="160">
        <v>4.9000000000000004</v>
      </c>
      <c r="C62" s="21" t="s">
        <v>3</v>
      </c>
      <c r="D62" s="188">
        <v>1</v>
      </c>
      <c r="E62" s="188">
        <v>1</v>
      </c>
      <c r="F62" s="188">
        <v>1</v>
      </c>
      <c r="G62" s="188">
        <v>1</v>
      </c>
      <c r="H62" s="4"/>
      <c r="I62" s="61" t="s">
        <v>79</v>
      </c>
    </row>
    <row r="63" spans="1:9" x14ac:dyDescent="0.25">
      <c r="A63" s="85"/>
      <c r="B63" s="186">
        <v>4.0999999999999996</v>
      </c>
      <c r="C63" s="42" t="s">
        <v>4</v>
      </c>
      <c r="D63" s="163">
        <v>2</v>
      </c>
      <c r="E63" s="163">
        <v>2</v>
      </c>
      <c r="F63" s="163">
        <v>2</v>
      </c>
      <c r="G63" s="163">
        <v>2</v>
      </c>
      <c r="H63" s="4"/>
      <c r="I63" s="61" t="s">
        <v>268</v>
      </c>
    </row>
    <row r="64" spans="1:9" x14ac:dyDescent="0.25">
      <c r="A64" s="85"/>
      <c r="B64" s="80" t="s">
        <v>251</v>
      </c>
      <c r="C64" s="14" t="s">
        <v>5</v>
      </c>
      <c r="D64" s="189">
        <v>3</v>
      </c>
      <c r="E64" s="189">
        <v>3</v>
      </c>
      <c r="F64" s="189">
        <v>3</v>
      </c>
      <c r="G64" s="189">
        <v>3</v>
      </c>
      <c r="H64" s="4"/>
      <c r="I64" s="61" t="s">
        <v>116</v>
      </c>
    </row>
    <row r="65" spans="1:9" x14ac:dyDescent="0.25">
      <c r="A65" s="85"/>
      <c r="B65" s="160"/>
      <c r="C65" s="5"/>
      <c r="D65" s="5"/>
      <c r="E65" s="4"/>
      <c r="F65" s="4"/>
      <c r="G65" s="4"/>
      <c r="H65" s="4"/>
    </row>
    <row r="66" spans="1:9" x14ac:dyDescent="0.25">
      <c r="A66" s="85"/>
      <c r="B66" s="80">
        <v>4.12</v>
      </c>
      <c r="C66" s="75" t="s">
        <v>115</v>
      </c>
      <c r="D66" s="38"/>
      <c r="E66" s="276">
        <v>0.05</v>
      </c>
      <c r="F66" s="76"/>
      <c r="G66" s="277" t="s">
        <v>212</v>
      </c>
      <c r="H66" s="4"/>
      <c r="I66" s="61" t="s">
        <v>111</v>
      </c>
    </row>
    <row r="67" spans="1:9" x14ac:dyDescent="0.25">
      <c r="A67" s="85"/>
      <c r="B67" s="80"/>
      <c r="C67" s="74"/>
      <c r="D67" s="43"/>
      <c r="E67" s="19"/>
      <c r="F67" s="19"/>
      <c r="G67" s="19"/>
      <c r="H67" s="4"/>
      <c r="I67" s="61"/>
    </row>
    <row r="68" spans="1:9" x14ac:dyDescent="0.25">
      <c r="A68" s="85"/>
      <c r="B68" s="80"/>
      <c r="C68" s="74" t="s">
        <v>190</v>
      </c>
      <c r="D68" s="5"/>
      <c r="E68" s="19"/>
      <c r="F68" s="4"/>
      <c r="G68" s="4"/>
      <c r="H68" s="4"/>
      <c r="I68" s="61"/>
    </row>
    <row r="69" spans="1:9" x14ac:dyDescent="0.25">
      <c r="A69" s="85"/>
      <c r="B69" s="80"/>
      <c r="C69" s="405" t="s">
        <v>121</v>
      </c>
      <c r="D69" s="402" t="s">
        <v>55</v>
      </c>
      <c r="E69" s="403"/>
      <c r="F69" s="403"/>
      <c r="G69" s="404"/>
      <c r="H69" s="4"/>
      <c r="I69" s="61"/>
    </row>
    <row r="70" spans="1:9" x14ac:dyDescent="0.25">
      <c r="A70" s="85"/>
      <c r="B70" s="80"/>
      <c r="C70" s="406"/>
      <c r="D70" s="147" t="s">
        <v>7</v>
      </c>
      <c r="E70" s="210" t="s">
        <v>8</v>
      </c>
      <c r="F70" s="211" t="s">
        <v>216</v>
      </c>
      <c r="G70" s="212" t="s">
        <v>218</v>
      </c>
      <c r="H70" s="4"/>
      <c r="I70" s="61"/>
    </row>
    <row r="71" spans="1:9" x14ac:dyDescent="0.25">
      <c r="A71" s="85"/>
      <c r="B71" s="80">
        <v>4.13</v>
      </c>
      <c r="C71" s="42" t="s">
        <v>22</v>
      </c>
      <c r="D71" s="375">
        <f>2*AVERAGE(D72:D73)</f>
        <v>2</v>
      </c>
      <c r="E71" s="376">
        <f>2*AVERAGE(E72:E73)</f>
        <v>3</v>
      </c>
      <c r="F71" s="376">
        <f>2*AVERAGE(F72:F73)</f>
        <v>4</v>
      </c>
      <c r="G71" s="93">
        <f>2*AVERAGE(G72:G73)</f>
        <v>4</v>
      </c>
      <c r="H71" s="4"/>
      <c r="I71" s="61"/>
    </row>
    <row r="72" spans="1:9" x14ac:dyDescent="0.25">
      <c r="A72" s="85"/>
      <c r="B72" s="80">
        <v>4.1399999999999997</v>
      </c>
      <c r="C72" s="42" t="s">
        <v>184</v>
      </c>
      <c r="D72" s="375">
        <v>1</v>
      </c>
      <c r="E72" s="376">
        <v>1.5</v>
      </c>
      <c r="F72" s="376">
        <v>2</v>
      </c>
      <c r="G72" s="93">
        <v>2</v>
      </c>
      <c r="H72" s="4"/>
      <c r="I72" s="61"/>
    </row>
    <row r="73" spans="1:9" x14ac:dyDescent="0.25">
      <c r="A73" s="85"/>
      <c r="B73" s="80" t="s">
        <v>252</v>
      </c>
      <c r="C73" s="14" t="s">
        <v>185</v>
      </c>
      <c r="D73" s="377">
        <f>D72</f>
        <v>1</v>
      </c>
      <c r="E73" s="378">
        <f t="shared" ref="E73:F73" si="3">E72</f>
        <v>1.5</v>
      </c>
      <c r="F73" s="378">
        <f t="shared" si="3"/>
        <v>2</v>
      </c>
      <c r="G73" s="94">
        <v>2</v>
      </c>
      <c r="H73" s="4"/>
      <c r="I73" s="61"/>
    </row>
    <row r="74" spans="1:9" x14ac:dyDescent="0.25">
      <c r="A74" s="85"/>
      <c r="B74" s="80"/>
      <c r="C74" s="209"/>
      <c r="D74" s="5"/>
      <c r="E74" s="19"/>
      <c r="F74" s="4"/>
      <c r="G74" s="4"/>
      <c r="H74" s="4"/>
      <c r="I74" s="61"/>
    </row>
    <row r="75" spans="1:9" x14ac:dyDescent="0.25">
      <c r="A75" s="85"/>
      <c r="C75" s="74"/>
      <c r="D75" s="5"/>
      <c r="E75" s="19"/>
      <c r="F75" s="4"/>
      <c r="G75" s="4"/>
      <c r="H75" s="4"/>
      <c r="I75" s="61"/>
    </row>
    <row r="76" spans="1:9" x14ac:dyDescent="0.25">
      <c r="A76" s="85"/>
      <c r="B76" s="40" t="s">
        <v>179</v>
      </c>
      <c r="C76" s="40"/>
      <c r="D76" s="40"/>
      <c r="E76" s="40"/>
      <c r="F76" s="40"/>
      <c r="G76" s="40"/>
      <c r="H76" s="4"/>
      <c r="I76" s="61"/>
    </row>
    <row r="77" spans="1:9" x14ac:dyDescent="0.25">
      <c r="A77" s="85"/>
      <c r="C77" s="17" t="s">
        <v>86</v>
      </c>
      <c r="D77" s="19"/>
      <c r="E77" s="19"/>
      <c r="F77" s="20"/>
      <c r="G77" s="5"/>
      <c r="H77" s="5"/>
      <c r="I77" s="5"/>
    </row>
    <row r="78" spans="1:9" x14ac:dyDescent="0.25">
      <c r="A78" s="85"/>
      <c r="C78" s="90" t="s">
        <v>65</v>
      </c>
      <c r="D78" s="107" t="s">
        <v>11</v>
      </c>
      <c r="E78" s="88"/>
      <c r="F78" s="89"/>
      <c r="G78" s="73"/>
      <c r="H78" s="73"/>
      <c r="I78" s="73"/>
    </row>
    <row r="79" spans="1:9" x14ac:dyDescent="0.25">
      <c r="A79" s="85"/>
      <c r="B79">
        <v>5.0999999999999996</v>
      </c>
      <c r="C79" s="86" t="s">
        <v>13</v>
      </c>
      <c r="D79" s="93">
        <v>100</v>
      </c>
      <c r="F79" s="91" t="s">
        <v>66</v>
      </c>
      <c r="G79" s="5"/>
      <c r="H79" s="5"/>
      <c r="I79" s="5"/>
    </row>
    <row r="80" spans="1:9" x14ac:dyDescent="0.25">
      <c r="A80" s="85"/>
      <c r="B80">
        <v>5.2</v>
      </c>
      <c r="C80" s="86" t="s">
        <v>14</v>
      </c>
      <c r="D80" s="93">
        <v>150</v>
      </c>
      <c r="E80" s="19"/>
      <c r="F80" s="274"/>
      <c r="G80" s="5"/>
      <c r="H80" s="5"/>
      <c r="I80" s="5"/>
    </row>
    <row r="81" spans="1:16" x14ac:dyDescent="0.25">
      <c r="A81" s="85"/>
      <c r="B81">
        <v>5.3</v>
      </c>
      <c r="C81" s="87" t="s">
        <v>15</v>
      </c>
      <c r="D81" s="94">
        <v>60</v>
      </c>
      <c r="E81" s="19"/>
      <c r="F81" s="20"/>
      <c r="G81" s="5"/>
      <c r="H81" s="5"/>
      <c r="I81" s="5"/>
    </row>
    <row r="82" spans="1:16" x14ac:dyDescent="0.25">
      <c r="A82" s="85"/>
      <c r="C82" s="92"/>
      <c r="D82" s="22"/>
      <c r="E82" s="19"/>
      <c r="F82" s="20"/>
      <c r="G82" s="5"/>
      <c r="H82" s="5"/>
      <c r="I82" s="5"/>
    </row>
    <row r="83" spans="1:16" x14ac:dyDescent="0.25">
      <c r="A83" s="85"/>
      <c r="C83" s="17" t="s">
        <v>85</v>
      </c>
      <c r="D83" s="22"/>
      <c r="E83" s="19"/>
      <c r="F83" s="20"/>
      <c r="G83" s="5"/>
      <c r="H83" s="5"/>
      <c r="I83" s="5"/>
    </row>
    <row r="84" spans="1:16" x14ac:dyDescent="0.25">
      <c r="A84" s="85"/>
      <c r="C84" s="95"/>
      <c r="D84" s="107" t="s">
        <v>11</v>
      </c>
      <c r="E84" s="108" t="s">
        <v>12</v>
      </c>
      <c r="F84" s="20"/>
      <c r="G84" s="5"/>
      <c r="H84" s="5"/>
      <c r="I84" s="5"/>
      <c r="J84" s="5"/>
    </row>
    <row r="85" spans="1:16" x14ac:dyDescent="0.25">
      <c r="A85" s="85"/>
      <c r="B85">
        <v>5.4</v>
      </c>
      <c r="C85" s="86" t="s">
        <v>68</v>
      </c>
      <c r="D85" s="98">
        <v>2</v>
      </c>
      <c r="E85" s="96">
        <v>3</v>
      </c>
      <c r="G85" s="5"/>
      <c r="H85" s="5"/>
      <c r="I85" s="5"/>
      <c r="J85" s="5"/>
      <c r="P85" s="61"/>
    </row>
    <row r="86" spans="1:16" x14ac:dyDescent="0.25">
      <c r="A86" s="85"/>
      <c r="B86">
        <v>5.5</v>
      </c>
      <c r="C86" s="86" t="s">
        <v>69</v>
      </c>
      <c r="D86" s="97">
        <v>0.05</v>
      </c>
      <c r="E86" s="77">
        <v>0.1</v>
      </c>
      <c r="F86" s="20" t="s">
        <v>71</v>
      </c>
      <c r="G86" s="5"/>
      <c r="H86" s="5"/>
      <c r="I86" s="5"/>
      <c r="J86" s="5"/>
      <c r="P86" s="61"/>
    </row>
    <row r="87" spans="1:16" x14ac:dyDescent="0.25">
      <c r="A87" s="85"/>
      <c r="B87">
        <v>5.6</v>
      </c>
      <c r="C87" s="87" t="s">
        <v>67</v>
      </c>
      <c r="D87" s="99" t="s">
        <v>70</v>
      </c>
      <c r="E87" s="99" t="s">
        <v>70</v>
      </c>
      <c r="F87" s="20"/>
      <c r="G87" s="5"/>
      <c r="H87" s="5"/>
      <c r="I87" s="5"/>
      <c r="P87" s="61"/>
    </row>
    <row r="88" spans="1:16" ht="15.75" customHeight="1" x14ac:dyDescent="0.25"/>
    <row r="89" spans="1:16" ht="33.75" customHeight="1" x14ac:dyDescent="0.5">
      <c r="A89" s="102" t="s">
        <v>73</v>
      </c>
      <c r="B89" s="102"/>
      <c r="C89" s="103"/>
      <c r="D89" s="103"/>
      <c r="E89" s="103"/>
      <c r="F89" s="103"/>
      <c r="G89" s="103"/>
      <c r="H89" s="103"/>
      <c r="I89" s="103"/>
      <c r="J89" s="103"/>
      <c r="K89" s="103"/>
    </row>
    <row r="90" spans="1:16" ht="15.75" customHeight="1" x14ac:dyDescent="0.25">
      <c r="J90" s="1"/>
    </row>
    <row r="91" spans="1:16" ht="15.75" customHeight="1" x14ac:dyDescent="0.25">
      <c r="J91" s="1" t="s">
        <v>54</v>
      </c>
    </row>
    <row r="92" spans="1:16" ht="15.75" customHeight="1" x14ac:dyDescent="0.25">
      <c r="J92" s="256"/>
      <c r="K92" t="s">
        <v>122</v>
      </c>
    </row>
    <row r="93" spans="1:16" ht="15.75" customHeight="1" x14ac:dyDescent="0.25">
      <c r="J93" s="64"/>
      <c r="K93" t="s">
        <v>52</v>
      </c>
    </row>
    <row r="94" spans="1:16" ht="15.75" customHeight="1" x14ac:dyDescent="0.25">
      <c r="J94" s="66"/>
      <c r="K94" t="s">
        <v>51</v>
      </c>
    </row>
    <row r="95" spans="1:16" ht="15.75" customHeight="1" x14ac:dyDescent="0.25">
      <c r="I95" s="61" t="s">
        <v>117</v>
      </c>
    </row>
    <row r="96" spans="1:16" ht="15.75" customHeight="1" x14ac:dyDescent="0.25">
      <c r="I96" s="61" t="s">
        <v>118</v>
      </c>
    </row>
    <row r="97" spans="1:24" ht="15.75" customHeight="1" x14ac:dyDescent="0.25"/>
    <row r="98" spans="1:24" ht="15.75" customHeight="1" x14ac:dyDescent="0.25">
      <c r="A98" s="103"/>
      <c r="C98" s="74" t="s">
        <v>262</v>
      </c>
      <c r="D98" s="74"/>
      <c r="E98" s="74"/>
      <c r="F98" s="16"/>
      <c r="G98" s="5"/>
    </row>
    <row r="99" spans="1:24" ht="15.75" customHeight="1" x14ac:dyDescent="0.25">
      <c r="A99" s="103"/>
      <c r="C99" s="168" t="s">
        <v>269</v>
      </c>
      <c r="D99" s="169" t="s">
        <v>16</v>
      </c>
      <c r="E99" s="170" t="s">
        <v>17</v>
      </c>
      <c r="F99" s="171" t="s">
        <v>18</v>
      </c>
      <c r="G99" s="172" t="s">
        <v>271</v>
      </c>
      <c r="H99" s="173" t="s">
        <v>11</v>
      </c>
      <c r="I99" s="174" t="s">
        <v>12</v>
      </c>
      <c r="J99" s="124" t="s">
        <v>19</v>
      </c>
      <c r="K99" s="122" t="s">
        <v>20</v>
      </c>
      <c r="L99" s="123" t="s">
        <v>21</v>
      </c>
      <c r="M99" s="124" t="s">
        <v>223</v>
      </c>
      <c r="N99" s="140"/>
      <c r="O99" s="140"/>
    </row>
    <row r="100" spans="1:24" ht="15.75" customHeight="1" x14ac:dyDescent="0.25">
      <c r="A100" s="103"/>
      <c r="B100">
        <v>5.7</v>
      </c>
      <c r="C100" s="21" t="s">
        <v>124</v>
      </c>
      <c r="D100" s="166" t="s">
        <v>22</v>
      </c>
      <c r="E100" s="25" t="s">
        <v>23</v>
      </c>
      <c r="F100" s="26" t="s">
        <v>7</v>
      </c>
      <c r="G100" s="433" t="s">
        <v>82</v>
      </c>
      <c r="H100" s="100">
        <f>$H32+MAX($D85,$D86*$I32)</f>
        <v>10</v>
      </c>
      <c r="I100" s="25">
        <f>I32+MAX(E85,E86*I32)</f>
        <v>13</v>
      </c>
      <c r="J100" s="141">
        <f>I100-H100</f>
        <v>3</v>
      </c>
      <c r="K100" s="109"/>
      <c r="L100" s="31"/>
      <c r="M100" s="141">
        <f>$H32</f>
        <v>8</v>
      </c>
      <c r="N100" s="10"/>
      <c r="P100" s="177" t="s">
        <v>162</v>
      </c>
    </row>
    <row r="101" spans="1:24" ht="15.75" customHeight="1" x14ac:dyDescent="0.25">
      <c r="A101" s="103"/>
      <c r="B101">
        <v>5.8</v>
      </c>
      <c r="C101" s="42" t="s">
        <v>125</v>
      </c>
      <c r="D101" s="136" t="s">
        <v>22</v>
      </c>
      <c r="E101" s="16" t="s">
        <v>23</v>
      </c>
      <c r="F101" s="28" t="s">
        <v>8</v>
      </c>
      <c r="G101" s="434" t="s">
        <v>24</v>
      </c>
      <c r="H101" s="81">
        <f>MAX($D85,$D$86*$I33)</f>
        <v>2</v>
      </c>
      <c r="I101" s="16">
        <f>MAX(E85,$E$86*I33)</f>
        <v>3</v>
      </c>
      <c r="J101" s="11">
        <f>I101-H101</f>
        <v>1</v>
      </c>
      <c r="K101" s="43"/>
      <c r="L101" s="27"/>
      <c r="M101" s="11">
        <v>0</v>
      </c>
      <c r="N101" s="10"/>
      <c r="P101" s="177" t="s">
        <v>163</v>
      </c>
    </row>
    <row r="102" spans="1:24" ht="15.75" customHeight="1" x14ac:dyDescent="0.25">
      <c r="A102" s="103"/>
      <c r="B102">
        <v>5.9</v>
      </c>
      <c r="C102" s="42" t="s">
        <v>126</v>
      </c>
      <c r="D102" s="136" t="s">
        <v>22</v>
      </c>
      <c r="E102" s="16" t="s">
        <v>23</v>
      </c>
      <c r="F102" s="28" t="s">
        <v>216</v>
      </c>
      <c r="G102" s="434" t="s">
        <v>24</v>
      </c>
      <c r="H102" s="81">
        <f>MAX($D86,$D$86*$I34)</f>
        <v>1.9662698412698412</v>
      </c>
      <c r="I102" s="16">
        <f>MAX(E86,$E$86*I34)</f>
        <v>3.9325396825396823</v>
      </c>
      <c r="J102" s="11">
        <f>I102-H102</f>
        <v>1.9662698412698412</v>
      </c>
      <c r="K102" s="43"/>
      <c r="L102" s="27"/>
      <c r="M102" s="11">
        <v>0</v>
      </c>
      <c r="N102" s="10"/>
      <c r="P102" s="177" t="s">
        <v>164</v>
      </c>
    </row>
    <row r="103" spans="1:24" ht="15.75" customHeight="1" x14ac:dyDescent="0.25">
      <c r="A103" s="103"/>
      <c r="B103" s="186">
        <v>5.0999999999999996</v>
      </c>
      <c r="C103" s="42" t="s">
        <v>127</v>
      </c>
      <c r="D103" s="138" t="s">
        <v>22</v>
      </c>
      <c r="E103" s="29" t="s">
        <v>23</v>
      </c>
      <c r="F103" s="30" t="s">
        <v>218</v>
      </c>
      <c r="G103" s="435" t="s">
        <v>24</v>
      </c>
      <c r="H103" s="82">
        <f>MAX($D87,$D$86*$I35)</f>
        <v>7.1876984126984134</v>
      </c>
      <c r="I103" s="29">
        <f>MAX(E87,$E$86*I35)</f>
        <v>14.375396825396827</v>
      </c>
      <c r="J103" s="13">
        <f>I103-H103</f>
        <v>7.1876984126984134</v>
      </c>
      <c r="K103" s="83"/>
      <c r="L103" s="32"/>
      <c r="M103" s="13">
        <v>0</v>
      </c>
      <c r="N103" s="10"/>
      <c r="P103" s="177" t="s">
        <v>220</v>
      </c>
    </row>
    <row r="104" spans="1:24" ht="15.75" customHeight="1" x14ac:dyDescent="0.25">
      <c r="A104" s="103"/>
      <c r="B104">
        <v>5.1100000000000003</v>
      </c>
      <c r="C104" s="21" t="s">
        <v>128</v>
      </c>
      <c r="D104" s="136" t="s">
        <v>22</v>
      </c>
      <c r="E104" s="16" t="s">
        <v>25</v>
      </c>
      <c r="F104" s="28" t="s">
        <v>7</v>
      </c>
      <c r="G104" s="434" t="s">
        <v>82</v>
      </c>
      <c r="H104" s="81">
        <f>$H32+MAX($D85,$D86*$I32)</f>
        <v>10</v>
      </c>
      <c r="I104" s="16">
        <f>I32+MAX(E85,E86*I32)</f>
        <v>13</v>
      </c>
      <c r="J104" s="11">
        <f t="shared" ref="J104:J135" si="4">I104-H104</f>
        <v>3</v>
      </c>
      <c r="K104" s="43"/>
      <c r="L104" s="27"/>
      <c r="M104" s="11">
        <f>$H32</f>
        <v>8</v>
      </c>
      <c r="N104" s="10"/>
      <c r="O104" s="10"/>
    </row>
    <row r="105" spans="1:24" ht="15.75" customHeight="1" x14ac:dyDescent="0.25">
      <c r="A105" s="103"/>
      <c r="B105">
        <v>5.12</v>
      </c>
      <c r="C105" s="42" t="s">
        <v>129</v>
      </c>
      <c r="D105" s="136" t="s">
        <v>22</v>
      </c>
      <c r="E105" s="16" t="s">
        <v>25</v>
      </c>
      <c r="F105" s="28" t="s">
        <v>8</v>
      </c>
      <c r="G105" s="434" t="s">
        <v>228</v>
      </c>
      <c r="H105" s="81">
        <f>$D34+$D32+$D36+MAX($D85,$D86*(F32+F34+F36))</f>
        <v>14.5</v>
      </c>
      <c r="I105" s="16">
        <f>F33+F34+F36+MAX(E85, E86*(F33+F34+F36))</f>
        <v>20.182539682539684</v>
      </c>
      <c r="J105" s="11">
        <f t="shared" si="4"/>
        <v>5.6825396825396837</v>
      </c>
      <c r="K105" s="43" t="s">
        <v>13</v>
      </c>
      <c r="L105" s="27">
        <f>$D$79</f>
        <v>100</v>
      </c>
      <c r="M105" s="11">
        <f>$D34+$D32+$D36</f>
        <v>12.5</v>
      </c>
      <c r="N105" s="10"/>
      <c r="O105" s="10"/>
      <c r="P105" s="432" t="s">
        <v>270</v>
      </c>
      <c r="Q105" s="432"/>
      <c r="R105" s="432"/>
      <c r="S105" s="432"/>
      <c r="T105" s="432"/>
      <c r="U105" s="432"/>
      <c r="V105" s="432"/>
      <c r="W105" s="431"/>
      <c r="X105" s="431"/>
    </row>
    <row r="106" spans="1:24" ht="15.75" customHeight="1" x14ac:dyDescent="0.25">
      <c r="A106" s="103"/>
      <c r="B106">
        <v>5.13</v>
      </c>
      <c r="C106" s="42" t="s">
        <v>130</v>
      </c>
      <c r="D106" s="136" t="s">
        <v>22</v>
      </c>
      <c r="E106" s="16" t="s">
        <v>25</v>
      </c>
      <c r="F106" s="28" t="s">
        <v>216</v>
      </c>
      <c r="G106" s="434" t="s">
        <v>83</v>
      </c>
      <c r="H106" s="81">
        <f>$D34+$D33+$D36+$D37+$D38+MAX($D85,$D86*(F34+F33+F36+F37+F38))</f>
        <v>32</v>
      </c>
      <c r="I106" s="16">
        <f>F34+F33+F36+F37+F38+MAX(E85,E86*(F34+F33+F36+F37+F38))</f>
        <v>43.257936507936506</v>
      </c>
      <c r="J106" s="11">
        <f t="shared" si="4"/>
        <v>11.257936507936506</v>
      </c>
      <c r="K106" s="43" t="s">
        <v>31</v>
      </c>
      <c r="L106" s="27">
        <f>$D$79+$D$80+$D$81</f>
        <v>310</v>
      </c>
      <c r="M106" s="11">
        <f>$D34+$D33+$D36+$D37+$D38</f>
        <v>30</v>
      </c>
      <c r="N106" s="10"/>
      <c r="O106" s="10"/>
      <c r="P106" s="432"/>
      <c r="Q106" s="432"/>
      <c r="R106" s="432"/>
      <c r="S106" s="432"/>
      <c r="T106" s="432"/>
      <c r="U106" s="432"/>
      <c r="V106" s="432"/>
      <c r="W106" s="431"/>
      <c r="X106" s="431"/>
    </row>
    <row r="107" spans="1:24" ht="15.75" customHeight="1" x14ac:dyDescent="0.25">
      <c r="A107" s="103"/>
      <c r="B107" s="186">
        <v>5.14</v>
      </c>
      <c r="C107" s="14" t="s">
        <v>131</v>
      </c>
      <c r="D107" s="136" t="s">
        <v>22</v>
      </c>
      <c r="E107" s="16" t="s">
        <v>25</v>
      </c>
      <c r="F107" s="28" t="s">
        <v>218</v>
      </c>
      <c r="G107" s="434" t="s">
        <v>84</v>
      </c>
      <c r="H107" s="81">
        <f>$H35+MAX($D85,$D86*$I35)</f>
        <v>120.68769841269841</v>
      </c>
      <c r="I107" s="16">
        <f>I35+MAX(E85,E86*I35)</f>
        <v>158.12936507936507</v>
      </c>
      <c r="J107" s="11">
        <f t="shared" si="4"/>
        <v>37.441666666666663</v>
      </c>
      <c r="K107" s="43" t="s">
        <v>31</v>
      </c>
      <c r="L107" s="27">
        <f>$D$79+$D$80+$D$81</f>
        <v>310</v>
      </c>
      <c r="M107" s="11">
        <f>$H35</f>
        <v>113.5</v>
      </c>
      <c r="N107" s="10"/>
      <c r="O107" s="10"/>
      <c r="P107" s="432"/>
      <c r="Q107" s="432"/>
      <c r="R107" s="432"/>
      <c r="S107" s="432"/>
      <c r="T107" s="432"/>
      <c r="U107" s="432"/>
      <c r="V107" s="432"/>
      <c r="W107" s="431"/>
      <c r="X107" s="431"/>
    </row>
    <row r="108" spans="1:24" ht="15.75" customHeight="1" x14ac:dyDescent="0.25">
      <c r="A108" s="103"/>
      <c r="B108">
        <v>5.15</v>
      </c>
      <c r="C108" s="42" t="s">
        <v>132</v>
      </c>
      <c r="D108" s="166" t="s">
        <v>22</v>
      </c>
      <c r="E108" s="25" t="s">
        <v>26</v>
      </c>
      <c r="F108" s="26" t="s">
        <v>7</v>
      </c>
      <c r="G108" s="433" t="s">
        <v>82</v>
      </c>
      <c r="H108" s="112">
        <f>$H32+MAX($D85,$D86*$I32)</f>
        <v>10</v>
      </c>
      <c r="I108" s="113">
        <f>I32+MAX(E85,E86*I32)</f>
        <v>13</v>
      </c>
      <c r="J108" s="141">
        <f t="shared" si="4"/>
        <v>3</v>
      </c>
      <c r="K108" s="109"/>
      <c r="L108" s="31"/>
      <c r="M108" s="141">
        <f>$H32</f>
        <v>8</v>
      </c>
      <c r="N108" s="10"/>
      <c r="O108" s="10"/>
      <c r="P108" s="432"/>
      <c r="Q108" s="432"/>
      <c r="R108" s="432"/>
      <c r="S108" s="432"/>
      <c r="T108" s="432"/>
      <c r="U108" s="432"/>
      <c r="V108" s="432"/>
      <c r="W108" s="431"/>
      <c r="X108" s="431"/>
    </row>
    <row r="109" spans="1:24" ht="15.75" customHeight="1" x14ac:dyDescent="0.25">
      <c r="A109" s="103"/>
      <c r="B109">
        <v>5.16</v>
      </c>
      <c r="C109" s="42" t="s">
        <v>133</v>
      </c>
      <c r="D109" s="136" t="s">
        <v>22</v>
      </c>
      <c r="E109" s="16" t="s">
        <v>26</v>
      </c>
      <c r="F109" s="28" t="s">
        <v>8</v>
      </c>
      <c r="G109" s="434" t="s">
        <v>225</v>
      </c>
      <c r="H109" s="110">
        <f>$H33+MAX($D85,$D86*$I33)</f>
        <v>14.5</v>
      </c>
      <c r="I109" s="111">
        <f>I33+MAX(E85, E86*I33)</f>
        <v>19.071428571428569</v>
      </c>
      <c r="J109" s="11">
        <f t="shared" si="4"/>
        <v>4.5714285714285694</v>
      </c>
      <c r="K109" s="43" t="s">
        <v>13</v>
      </c>
      <c r="L109" s="27">
        <f>$D$79</f>
        <v>100</v>
      </c>
      <c r="M109" s="11">
        <f>$H33</f>
        <v>12.5</v>
      </c>
      <c r="N109" s="10"/>
      <c r="O109" s="10"/>
      <c r="P109" s="432"/>
      <c r="Q109" s="432"/>
      <c r="R109" s="432"/>
      <c r="S109" s="432"/>
      <c r="T109" s="432"/>
      <c r="U109" s="432"/>
      <c r="V109" s="432"/>
      <c r="W109" s="431"/>
      <c r="X109" s="431"/>
    </row>
    <row r="110" spans="1:24" ht="15.75" customHeight="1" x14ac:dyDescent="0.25">
      <c r="A110" s="103"/>
      <c r="B110">
        <v>5.17</v>
      </c>
      <c r="C110" s="42" t="s">
        <v>134</v>
      </c>
      <c r="D110" s="136" t="s">
        <v>22</v>
      </c>
      <c r="E110" s="16" t="s">
        <v>26</v>
      </c>
      <c r="F110" s="28" t="s">
        <v>216</v>
      </c>
      <c r="G110" s="434" t="s">
        <v>83</v>
      </c>
      <c r="H110" s="110">
        <f>$H34+MAX($D85,$D86*$I34)</f>
        <v>32</v>
      </c>
      <c r="I110" s="111">
        <f>I34+MAX(E85,E86*I34)</f>
        <v>43.257936507936506</v>
      </c>
      <c r="J110" s="11">
        <f t="shared" si="4"/>
        <v>11.257936507936506</v>
      </c>
      <c r="K110" s="43" t="s">
        <v>31</v>
      </c>
      <c r="L110" s="27">
        <f>$D$79+$D$80+$D$81</f>
        <v>310</v>
      </c>
      <c r="M110" s="11">
        <f>$H34</f>
        <v>30</v>
      </c>
      <c r="N110" s="10"/>
      <c r="O110" s="10"/>
      <c r="P110" s="432"/>
      <c r="Q110" s="432"/>
      <c r="R110" s="432"/>
      <c r="S110" s="432"/>
      <c r="T110" s="432"/>
      <c r="U110" s="432"/>
      <c r="V110" s="432"/>
      <c r="W110" s="431"/>
      <c r="X110" s="431"/>
    </row>
    <row r="111" spans="1:24" ht="15.75" customHeight="1" x14ac:dyDescent="0.25">
      <c r="A111" s="103"/>
      <c r="B111" s="186">
        <v>5.18</v>
      </c>
      <c r="C111" s="42" t="s">
        <v>135</v>
      </c>
      <c r="D111" s="138" t="s">
        <v>22</v>
      </c>
      <c r="E111" s="29" t="s">
        <v>26</v>
      </c>
      <c r="F111" s="30" t="s">
        <v>218</v>
      </c>
      <c r="G111" s="435" t="s">
        <v>84</v>
      </c>
      <c r="H111" s="114">
        <f>$H35+MAX($D85,$D86*$I35)</f>
        <v>120.68769841269841</v>
      </c>
      <c r="I111" s="115">
        <f>I35+MAX(E85,E86*I35)</f>
        <v>158.12936507936507</v>
      </c>
      <c r="J111" s="13">
        <f t="shared" si="4"/>
        <v>37.441666666666663</v>
      </c>
      <c r="K111" s="83" t="s">
        <v>31</v>
      </c>
      <c r="L111" s="32">
        <f>$D$79+$D$80+$D$81</f>
        <v>310</v>
      </c>
      <c r="M111" s="13">
        <f>$H35</f>
        <v>113.5</v>
      </c>
      <c r="N111" s="10"/>
      <c r="O111" s="10"/>
      <c r="P111" s="432"/>
      <c r="Q111" s="432"/>
      <c r="R111" s="432"/>
      <c r="S111" s="432"/>
      <c r="T111" s="432"/>
      <c r="U111" s="432"/>
      <c r="V111" s="432"/>
      <c r="W111" s="431"/>
      <c r="X111" s="431"/>
    </row>
    <row r="112" spans="1:24" ht="15.75" customHeight="1" x14ac:dyDescent="0.25">
      <c r="A112" s="103"/>
      <c r="B112">
        <v>5.19</v>
      </c>
      <c r="C112" s="21" t="s">
        <v>136</v>
      </c>
      <c r="D112" s="9" t="s">
        <v>27</v>
      </c>
      <c r="E112" s="16" t="s">
        <v>23</v>
      </c>
      <c r="F112" s="28" t="s">
        <v>7</v>
      </c>
      <c r="G112" s="434" t="s">
        <v>7</v>
      </c>
      <c r="H112" s="81">
        <f>$H32</f>
        <v>8</v>
      </c>
      <c r="I112" s="16">
        <f>I32</f>
        <v>10</v>
      </c>
      <c r="J112" s="11">
        <f t="shared" si="4"/>
        <v>2</v>
      </c>
      <c r="K112" s="43"/>
      <c r="L112" s="27"/>
      <c r="M112" s="11">
        <f>$H32</f>
        <v>8</v>
      </c>
      <c r="N112" s="10"/>
      <c r="O112" s="10"/>
      <c r="P112" s="432"/>
      <c r="Q112" s="432"/>
      <c r="R112" s="432"/>
      <c r="S112" s="432"/>
      <c r="T112" s="432"/>
      <c r="U112" s="432"/>
      <c r="V112" s="432"/>
      <c r="W112" s="431"/>
      <c r="X112" s="431"/>
    </row>
    <row r="113" spans="1:24" ht="15.75" customHeight="1" x14ac:dyDescent="0.25">
      <c r="A113" s="103"/>
      <c r="B113" s="162">
        <v>5.2</v>
      </c>
      <c r="C113" s="42" t="s">
        <v>137</v>
      </c>
      <c r="D113" s="9" t="s">
        <v>27</v>
      </c>
      <c r="E113" s="16" t="s">
        <v>23</v>
      </c>
      <c r="F113" s="28" t="s">
        <v>8</v>
      </c>
      <c r="G113" s="434" t="s">
        <v>227</v>
      </c>
      <c r="H113" s="81">
        <f>$D32+$D36</f>
        <v>10</v>
      </c>
      <c r="I113" s="16">
        <f>F33+F36</f>
        <v>13.611111111111111</v>
      </c>
      <c r="J113" s="11">
        <f t="shared" si="4"/>
        <v>3.6111111111111107</v>
      </c>
      <c r="K113" s="43"/>
      <c r="L113" s="27"/>
      <c r="M113" s="11">
        <f>$D32</f>
        <v>8</v>
      </c>
      <c r="N113" s="10"/>
      <c r="O113" s="10"/>
      <c r="P113" s="432"/>
      <c r="Q113" s="432"/>
      <c r="R113" s="432"/>
      <c r="S113" s="432"/>
      <c r="T113" s="432"/>
      <c r="U113" s="432"/>
      <c r="V113" s="432"/>
      <c r="W113" s="431"/>
      <c r="X113" s="431"/>
    </row>
    <row r="114" spans="1:24" ht="15.75" customHeight="1" x14ac:dyDescent="0.25">
      <c r="A114" s="103"/>
      <c r="B114">
        <v>5.21</v>
      </c>
      <c r="C114" s="42" t="s">
        <v>138</v>
      </c>
      <c r="D114" s="9" t="s">
        <v>27</v>
      </c>
      <c r="E114" s="16" t="s">
        <v>23</v>
      </c>
      <c r="F114" s="28" t="s">
        <v>216</v>
      </c>
      <c r="G114" s="434" t="s">
        <v>28</v>
      </c>
      <c r="H114" s="81">
        <f>$D33+$D36</f>
        <v>12</v>
      </c>
      <c r="I114" s="16">
        <f>F33+F36</f>
        <v>13.611111111111111</v>
      </c>
      <c r="J114" s="11">
        <f t="shared" si="4"/>
        <v>1.6111111111111107</v>
      </c>
      <c r="K114" s="43"/>
      <c r="L114" s="27"/>
      <c r="M114" s="11">
        <f>$D33</f>
        <v>10</v>
      </c>
      <c r="N114" s="10"/>
      <c r="O114" s="10"/>
      <c r="P114" s="432"/>
      <c r="Q114" s="432"/>
      <c r="R114" s="432"/>
      <c r="S114" s="432"/>
      <c r="T114" s="432"/>
      <c r="U114" s="432"/>
      <c r="V114" s="432"/>
      <c r="W114" s="431"/>
      <c r="X114" s="431"/>
    </row>
    <row r="115" spans="1:24" ht="15.75" customHeight="1" x14ac:dyDescent="0.25">
      <c r="A115" s="103"/>
      <c r="B115" s="186">
        <v>5.22</v>
      </c>
      <c r="C115" s="14" t="s">
        <v>139</v>
      </c>
      <c r="D115" s="9" t="s">
        <v>27</v>
      </c>
      <c r="E115" s="16" t="s">
        <v>23</v>
      </c>
      <c r="F115" s="28" t="s">
        <v>218</v>
      </c>
      <c r="G115" s="434" t="s">
        <v>29</v>
      </c>
      <c r="H115" s="81">
        <f>$D33+$D36+$D39</f>
        <v>92</v>
      </c>
      <c r="I115" s="16">
        <f>F33+F36+F39</f>
        <v>113.61111111111111</v>
      </c>
      <c r="J115" s="11">
        <f t="shared" si="4"/>
        <v>21.611111111111114</v>
      </c>
      <c r="K115" s="43"/>
      <c r="L115" s="27"/>
      <c r="M115" s="11">
        <f>$D33+$D39</f>
        <v>90</v>
      </c>
      <c r="N115" s="10"/>
      <c r="O115" s="10"/>
      <c r="P115" s="432"/>
      <c r="Q115" s="432"/>
      <c r="R115" s="432"/>
      <c r="S115" s="432"/>
      <c r="T115" s="432"/>
      <c r="U115" s="432"/>
      <c r="V115" s="432"/>
      <c r="W115" s="431"/>
      <c r="X115" s="431"/>
    </row>
    <row r="116" spans="1:24" ht="15.75" customHeight="1" x14ac:dyDescent="0.25">
      <c r="A116" s="103"/>
      <c r="B116">
        <v>5.23</v>
      </c>
      <c r="C116" s="42" t="s">
        <v>140</v>
      </c>
      <c r="D116" s="167" t="s">
        <v>27</v>
      </c>
      <c r="E116" s="25" t="s">
        <v>25</v>
      </c>
      <c r="F116" s="26" t="s">
        <v>7</v>
      </c>
      <c r="G116" s="433" t="s">
        <v>7</v>
      </c>
      <c r="H116" s="100">
        <f>$H32</f>
        <v>8</v>
      </c>
      <c r="I116" s="25">
        <f t="shared" ref="I116:I119" si="5">I32</f>
        <v>10</v>
      </c>
      <c r="J116" s="141">
        <f t="shared" si="4"/>
        <v>2</v>
      </c>
      <c r="K116" s="109"/>
      <c r="L116" s="31"/>
      <c r="M116" s="141">
        <f>$H32</f>
        <v>8</v>
      </c>
      <c r="N116" s="10"/>
      <c r="O116" s="10"/>
      <c r="P116" s="432"/>
      <c r="Q116" s="432"/>
      <c r="R116" s="432"/>
      <c r="S116" s="432"/>
      <c r="T116" s="432"/>
      <c r="U116" s="432"/>
      <c r="V116" s="432"/>
      <c r="W116" s="431"/>
      <c r="X116" s="431"/>
    </row>
    <row r="117" spans="1:24" ht="15.75" customHeight="1" x14ac:dyDescent="0.25">
      <c r="A117" s="103"/>
      <c r="B117">
        <v>5.24</v>
      </c>
      <c r="C117" s="42" t="s">
        <v>141</v>
      </c>
      <c r="D117" s="9" t="s">
        <v>27</v>
      </c>
      <c r="E117" s="16" t="s">
        <v>25</v>
      </c>
      <c r="F117" s="28" t="s">
        <v>8</v>
      </c>
      <c r="G117" s="434" t="s">
        <v>224</v>
      </c>
      <c r="H117" s="81">
        <f>$H33</f>
        <v>12.5</v>
      </c>
      <c r="I117" s="16">
        <f t="shared" si="5"/>
        <v>16.071428571428569</v>
      </c>
      <c r="J117" s="11">
        <f t="shared" si="4"/>
        <v>3.5714285714285694</v>
      </c>
      <c r="K117" s="43" t="s">
        <v>13</v>
      </c>
      <c r="L117" s="27">
        <f>$D$79</f>
        <v>100</v>
      </c>
      <c r="M117" s="11">
        <f>$H33-$D36</f>
        <v>10.5</v>
      </c>
      <c r="N117" s="10"/>
      <c r="O117" s="10"/>
      <c r="P117" s="432"/>
      <c r="Q117" s="432"/>
      <c r="R117" s="432"/>
      <c r="S117" s="432"/>
      <c r="T117" s="432"/>
      <c r="U117" s="432"/>
      <c r="V117" s="432"/>
      <c r="W117" s="431"/>
      <c r="X117" s="431"/>
    </row>
    <row r="118" spans="1:24" ht="15.75" customHeight="1" x14ac:dyDescent="0.25">
      <c r="A118" s="103"/>
      <c r="B118">
        <v>5.25</v>
      </c>
      <c r="C118" s="42" t="s">
        <v>142</v>
      </c>
      <c r="D118" s="9" t="s">
        <v>27</v>
      </c>
      <c r="E118" s="16" t="s">
        <v>25</v>
      </c>
      <c r="F118" s="28" t="s">
        <v>216</v>
      </c>
      <c r="G118" s="434" t="s">
        <v>30</v>
      </c>
      <c r="H118" s="81">
        <f>$H34</f>
        <v>30</v>
      </c>
      <c r="I118" s="16">
        <f t="shared" si="5"/>
        <v>39.325396825396822</v>
      </c>
      <c r="J118" s="11">
        <f t="shared" si="4"/>
        <v>9.3253968253968225</v>
      </c>
      <c r="K118" s="43" t="s">
        <v>31</v>
      </c>
      <c r="L118" s="27">
        <f>$D$79+$D$80+$D$81</f>
        <v>310</v>
      </c>
      <c r="M118" s="11">
        <f>$H34-$D36</f>
        <v>28</v>
      </c>
      <c r="N118" s="10"/>
      <c r="O118" s="10"/>
      <c r="P118" s="432"/>
      <c r="Q118" s="432"/>
      <c r="R118" s="432"/>
      <c r="S118" s="432"/>
      <c r="T118" s="432"/>
      <c r="U118" s="432"/>
      <c r="V118" s="432"/>
      <c r="W118" s="431"/>
      <c r="X118" s="431"/>
    </row>
    <row r="119" spans="1:24" ht="15.75" customHeight="1" x14ac:dyDescent="0.25">
      <c r="A119" s="103"/>
      <c r="B119" s="186">
        <v>5.26</v>
      </c>
      <c r="C119" s="42" t="s">
        <v>143</v>
      </c>
      <c r="D119" s="12" t="s">
        <v>27</v>
      </c>
      <c r="E119" s="29" t="s">
        <v>25</v>
      </c>
      <c r="F119" s="30" t="s">
        <v>218</v>
      </c>
      <c r="G119" s="435" t="s">
        <v>32</v>
      </c>
      <c r="H119" s="82">
        <f>$H35</f>
        <v>113.5</v>
      </c>
      <c r="I119" s="29">
        <f t="shared" si="5"/>
        <v>143.75396825396825</v>
      </c>
      <c r="J119" s="13">
        <f t="shared" si="4"/>
        <v>30.253968253968253</v>
      </c>
      <c r="K119" s="83" t="s">
        <v>31</v>
      </c>
      <c r="L119" s="32">
        <f>$D$79+$D$80+$D$81</f>
        <v>310</v>
      </c>
      <c r="M119" s="13">
        <f>$H35-$D36</f>
        <v>111.5</v>
      </c>
      <c r="N119" s="10"/>
      <c r="O119" s="10"/>
      <c r="P119" s="432"/>
      <c r="Q119" s="432"/>
      <c r="R119" s="432"/>
      <c r="S119" s="432"/>
      <c r="T119" s="432"/>
      <c r="U119" s="432"/>
      <c r="V119" s="432"/>
      <c r="W119" s="431"/>
      <c r="X119" s="431"/>
    </row>
    <row r="120" spans="1:24" x14ac:dyDescent="0.25">
      <c r="A120" s="103"/>
      <c r="B120">
        <v>5.27</v>
      </c>
      <c r="C120" s="21" t="s">
        <v>144</v>
      </c>
      <c r="D120" s="9" t="s">
        <v>27</v>
      </c>
      <c r="E120" s="16" t="s">
        <v>26</v>
      </c>
      <c r="F120" s="28" t="s">
        <v>7</v>
      </c>
      <c r="G120" s="434" t="s">
        <v>82</v>
      </c>
      <c r="H120" s="110">
        <f>$H32+MAX($D85,$D86*$I32)</f>
        <v>10</v>
      </c>
      <c r="I120" s="111">
        <f>I32+MAX(E85,E86*I32)</f>
        <v>13</v>
      </c>
      <c r="J120" s="11">
        <f t="shared" si="4"/>
        <v>3</v>
      </c>
      <c r="K120" s="43"/>
      <c r="L120" s="27"/>
      <c r="M120" s="11">
        <f>$H32</f>
        <v>8</v>
      </c>
      <c r="N120" s="10"/>
      <c r="O120" s="10"/>
      <c r="P120" s="432"/>
      <c r="Q120" s="432"/>
      <c r="R120" s="432"/>
      <c r="S120" s="432"/>
      <c r="T120" s="432"/>
      <c r="U120" s="432"/>
      <c r="V120" s="432"/>
      <c r="W120" s="431"/>
      <c r="X120" s="431"/>
    </row>
    <row r="121" spans="1:24" x14ac:dyDescent="0.25">
      <c r="A121" s="103"/>
      <c r="B121">
        <v>5.28</v>
      </c>
      <c r="C121" s="42" t="s">
        <v>145</v>
      </c>
      <c r="D121" s="9" t="s">
        <v>27</v>
      </c>
      <c r="E121" s="16" t="s">
        <v>26</v>
      </c>
      <c r="F121" s="28" t="s">
        <v>8</v>
      </c>
      <c r="G121" s="434" t="s">
        <v>225</v>
      </c>
      <c r="H121" s="110">
        <f>$H33+MAX($D85,$D86*$I33)</f>
        <v>14.5</v>
      </c>
      <c r="I121" s="111">
        <f>I33+MAX(E85, E86*I33)</f>
        <v>19.071428571428569</v>
      </c>
      <c r="J121" s="11">
        <f t="shared" si="4"/>
        <v>4.5714285714285694</v>
      </c>
      <c r="K121" s="43" t="s">
        <v>13</v>
      </c>
      <c r="L121" s="27">
        <f>$D$79</f>
        <v>100</v>
      </c>
      <c r="M121" s="11">
        <f>$H33-$D36</f>
        <v>10.5</v>
      </c>
      <c r="N121" s="10"/>
      <c r="O121" s="10"/>
      <c r="P121" s="432"/>
      <c r="Q121" s="432"/>
      <c r="R121" s="432"/>
      <c r="S121" s="432"/>
      <c r="T121" s="432"/>
      <c r="U121" s="432"/>
      <c r="V121" s="432"/>
    </row>
    <row r="122" spans="1:24" x14ac:dyDescent="0.25">
      <c r="A122" s="103"/>
      <c r="B122">
        <v>5.29</v>
      </c>
      <c r="C122" s="42" t="s">
        <v>146</v>
      </c>
      <c r="D122" s="9" t="s">
        <v>27</v>
      </c>
      <c r="E122" s="16" t="s">
        <v>26</v>
      </c>
      <c r="F122" s="28" t="s">
        <v>216</v>
      </c>
      <c r="G122" s="434" t="s">
        <v>83</v>
      </c>
      <c r="H122" s="110">
        <f>$H34+MAX($D85,$D86*$I34)</f>
        <v>32</v>
      </c>
      <c r="I122" s="111">
        <f>I34+MAX(E85,E86*I34)</f>
        <v>43.257936507936506</v>
      </c>
      <c r="J122" s="11">
        <f t="shared" si="4"/>
        <v>11.257936507936506</v>
      </c>
      <c r="K122" s="43" t="s">
        <v>31</v>
      </c>
      <c r="L122" s="27">
        <f>$D$79+$D$80+$D$81</f>
        <v>310</v>
      </c>
      <c r="M122" s="11">
        <f>$H34-$D36</f>
        <v>28</v>
      </c>
      <c r="N122" s="10"/>
      <c r="O122" s="10"/>
      <c r="P122" s="432"/>
      <c r="Q122" s="432"/>
      <c r="R122" s="432"/>
      <c r="S122" s="432"/>
      <c r="T122" s="432"/>
      <c r="U122" s="432"/>
      <c r="V122" s="432"/>
    </row>
    <row r="123" spans="1:24" x14ac:dyDescent="0.25">
      <c r="A123" s="103"/>
      <c r="B123" s="186">
        <v>5.3</v>
      </c>
      <c r="C123" s="14" t="s">
        <v>147</v>
      </c>
      <c r="D123" s="9" t="s">
        <v>27</v>
      </c>
      <c r="E123" s="16" t="s">
        <v>26</v>
      </c>
      <c r="F123" s="28" t="s">
        <v>218</v>
      </c>
      <c r="G123" s="434" t="s">
        <v>84</v>
      </c>
      <c r="H123" s="110">
        <f>$H35+MAX($D85,$D86*$I35)</f>
        <v>120.68769841269841</v>
      </c>
      <c r="I123" s="111">
        <f>I35+MAX(E85,E86*I35)</f>
        <v>158.12936507936507</v>
      </c>
      <c r="J123" s="11">
        <f>I123-H123</f>
        <v>37.441666666666663</v>
      </c>
      <c r="K123" s="43" t="s">
        <v>31</v>
      </c>
      <c r="L123" s="27">
        <f>$D$79+$D$80+$D$81</f>
        <v>310</v>
      </c>
      <c r="M123" s="11">
        <f>$H35-$D36</f>
        <v>111.5</v>
      </c>
      <c r="N123" s="10"/>
      <c r="O123" s="10"/>
      <c r="P123" s="432"/>
      <c r="Q123" s="432"/>
      <c r="R123" s="432"/>
      <c r="S123" s="432"/>
      <c r="T123" s="432"/>
      <c r="U123" s="432"/>
      <c r="V123" s="432"/>
    </row>
    <row r="124" spans="1:24" x14ac:dyDescent="0.25">
      <c r="A124" s="103"/>
      <c r="B124">
        <v>5.31</v>
      </c>
      <c r="C124" s="42" t="s">
        <v>148</v>
      </c>
      <c r="D124" s="167" t="s">
        <v>33</v>
      </c>
      <c r="E124" s="25" t="s">
        <v>23</v>
      </c>
      <c r="F124" s="26" t="s">
        <v>7</v>
      </c>
      <c r="G124" s="433" t="s">
        <v>72</v>
      </c>
      <c r="H124" s="100">
        <v>0</v>
      </c>
      <c r="I124" s="25">
        <v>0</v>
      </c>
      <c r="J124" s="141">
        <f t="shared" si="4"/>
        <v>0</v>
      </c>
      <c r="K124" s="109"/>
      <c r="L124" s="31"/>
      <c r="M124" s="141">
        <v>0</v>
      </c>
      <c r="N124" s="10"/>
      <c r="O124" s="10"/>
      <c r="P124" s="61"/>
    </row>
    <row r="125" spans="1:24" x14ac:dyDescent="0.25">
      <c r="A125" s="103"/>
      <c r="B125">
        <v>5.32</v>
      </c>
      <c r="C125" s="42" t="s">
        <v>149</v>
      </c>
      <c r="D125" s="9" t="s">
        <v>33</v>
      </c>
      <c r="E125" s="16" t="s">
        <v>23</v>
      </c>
      <c r="F125" s="28" t="s">
        <v>8</v>
      </c>
      <c r="G125" s="434" t="s">
        <v>34</v>
      </c>
      <c r="H125" s="81">
        <f>$D34</f>
        <v>2.5</v>
      </c>
      <c r="I125" s="16">
        <f>F34</f>
        <v>3.5714285714285716</v>
      </c>
      <c r="J125" s="11">
        <f t="shared" si="4"/>
        <v>1.0714285714285716</v>
      </c>
      <c r="K125" s="43" t="s">
        <v>13</v>
      </c>
      <c r="L125" s="27">
        <f>$D$79</f>
        <v>100</v>
      </c>
      <c r="M125" s="11">
        <v>0</v>
      </c>
      <c r="N125" s="10"/>
      <c r="O125" s="10"/>
    </row>
    <row r="126" spans="1:24" x14ac:dyDescent="0.25">
      <c r="A126" s="103"/>
      <c r="B126">
        <v>5.33</v>
      </c>
      <c r="C126" s="42" t="s">
        <v>150</v>
      </c>
      <c r="D126" s="9" t="s">
        <v>33</v>
      </c>
      <c r="E126" s="16" t="s">
        <v>23</v>
      </c>
      <c r="F126" s="28" t="s">
        <v>216</v>
      </c>
      <c r="G126" s="434" t="s">
        <v>35</v>
      </c>
      <c r="H126" s="81">
        <f>$D34+$D37+$D38</f>
        <v>18</v>
      </c>
      <c r="I126" s="16">
        <f>F34+F37+F38</f>
        <v>25.714285714285715</v>
      </c>
      <c r="J126" s="11">
        <f t="shared" si="4"/>
        <v>7.7142857142857153</v>
      </c>
      <c r="K126" s="43" t="s">
        <v>31</v>
      </c>
      <c r="L126" s="27">
        <f>$D$79+$D$80+$D$81</f>
        <v>310</v>
      </c>
      <c r="M126" s="11">
        <v>0</v>
      </c>
      <c r="N126" s="10"/>
      <c r="O126" s="10"/>
    </row>
    <row r="127" spans="1:24" x14ac:dyDescent="0.25">
      <c r="A127" s="103"/>
      <c r="B127" s="186">
        <v>5.34</v>
      </c>
      <c r="C127" s="42" t="s">
        <v>151</v>
      </c>
      <c r="D127" s="12" t="s">
        <v>33</v>
      </c>
      <c r="E127" s="29" t="s">
        <v>23</v>
      </c>
      <c r="F127" s="30" t="s">
        <v>218</v>
      </c>
      <c r="G127" s="435" t="s">
        <v>36</v>
      </c>
      <c r="H127" s="82">
        <f>$D35+$D36+$D38</f>
        <v>11.5</v>
      </c>
      <c r="I127" s="29">
        <f>F35+F37+F38</f>
        <v>30.142857142857142</v>
      </c>
      <c r="J127" s="13">
        <f t="shared" si="4"/>
        <v>18.642857142857142</v>
      </c>
      <c r="K127" s="83" t="s">
        <v>31</v>
      </c>
      <c r="L127" s="32">
        <f>$D$79+$D$80+$D$81</f>
        <v>310</v>
      </c>
      <c r="M127" s="13">
        <f>$D35</f>
        <v>6</v>
      </c>
      <c r="N127" s="10"/>
      <c r="O127" s="10"/>
    </row>
    <row r="128" spans="1:24" x14ac:dyDescent="0.25">
      <c r="A128" s="103"/>
      <c r="B128">
        <v>5.35</v>
      </c>
      <c r="C128" s="21" t="s">
        <v>152</v>
      </c>
      <c r="D128" s="9" t="s">
        <v>33</v>
      </c>
      <c r="E128" s="16" t="s">
        <v>25</v>
      </c>
      <c r="F128" s="28" t="s">
        <v>7</v>
      </c>
      <c r="G128" s="434" t="s">
        <v>7</v>
      </c>
      <c r="H128" s="81">
        <f>$H32</f>
        <v>8</v>
      </c>
      <c r="I128" s="16">
        <f t="shared" ref="I128:I131" si="6">I32</f>
        <v>10</v>
      </c>
      <c r="J128" s="11">
        <f t="shared" si="4"/>
        <v>2</v>
      </c>
      <c r="K128" s="43"/>
      <c r="L128" s="27"/>
      <c r="M128" s="11">
        <f>$D32</f>
        <v>8</v>
      </c>
      <c r="N128" s="10"/>
      <c r="O128" s="10"/>
    </row>
    <row r="129" spans="1:15" x14ac:dyDescent="0.25">
      <c r="A129" s="103"/>
      <c r="B129">
        <v>5.36</v>
      </c>
      <c r="C129" s="42" t="s">
        <v>153</v>
      </c>
      <c r="D129" s="9" t="s">
        <v>33</v>
      </c>
      <c r="E129" s="16" t="s">
        <v>25</v>
      </c>
      <c r="F129" s="28" t="s">
        <v>8</v>
      </c>
      <c r="G129" s="434" t="s">
        <v>226</v>
      </c>
      <c r="H129" s="81">
        <f>$H33</f>
        <v>12.5</v>
      </c>
      <c r="I129" s="16">
        <f t="shared" si="6"/>
        <v>16.071428571428569</v>
      </c>
      <c r="J129" s="11">
        <f t="shared" si="4"/>
        <v>3.5714285714285694</v>
      </c>
      <c r="K129" s="43" t="s">
        <v>13</v>
      </c>
      <c r="L129" s="27">
        <f>$D$79</f>
        <v>100</v>
      </c>
      <c r="M129" s="11">
        <f>$D32+$D36</f>
        <v>10</v>
      </c>
      <c r="N129" s="10"/>
      <c r="O129" s="10"/>
    </row>
    <row r="130" spans="1:15" x14ac:dyDescent="0.25">
      <c r="A130" s="103"/>
      <c r="B130">
        <v>5.37</v>
      </c>
      <c r="C130" s="42" t="s">
        <v>154</v>
      </c>
      <c r="D130" s="9" t="s">
        <v>33</v>
      </c>
      <c r="E130" s="16" t="s">
        <v>25</v>
      </c>
      <c r="F130" s="28" t="s">
        <v>216</v>
      </c>
      <c r="G130" s="434" t="s">
        <v>30</v>
      </c>
      <c r="H130" s="81">
        <f>$H34</f>
        <v>30</v>
      </c>
      <c r="I130" s="16">
        <f t="shared" si="6"/>
        <v>39.325396825396822</v>
      </c>
      <c r="J130" s="11">
        <f t="shared" si="4"/>
        <v>9.3253968253968225</v>
      </c>
      <c r="K130" s="43" t="s">
        <v>31</v>
      </c>
      <c r="L130" s="27">
        <f>$D$79+$D$80+$D$81</f>
        <v>310</v>
      </c>
      <c r="M130" s="11">
        <f>$D33+$D36</f>
        <v>12</v>
      </c>
      <c r="N130" s="10"/>
      <c r="O130" s="10"/>
    </row>
    <row r="131" spans="1:15" x14ac:dyDescent="0.25">
      <c r="A131" s="103"/>
      <c r="B131" s="186">
        <v>5.38</v>
      </c>
      <c r="C131" s="14" t="s">
        <v>155</v>
      </c>
      <c r="D131" s="9" t="s">
        <v>33</v>
      </c>
      <c r="E131" s="16" t="s">
        <v>25</v>
      </c>
      <c r="F131" s="28" t="s">
        <v>218</v>
      </c>
      <c r="G131" s="434" t="s">
        <v>32</v>
      </c>
      <c r="H131" s="81">
        <f>$H35</f>
        <v>113.5</v>
      </c>
      <c r="I131" s="16">
        <f t="shared" si="6"/>
        <v>143.75396825396825</v>
      </c>
      <c r="J131" s="11">
        <f t="shared" si="4"/>
        <v>30.253968253968253</v>
      </c>
      <c r="K131" s="43" t="s">
        <v>31</v>
      </c>
      <c r="L131" s="27">
        <f>$D$79+$D$80+$D$81</f>
        <v>310</v>
      </c>
      <c r="M131" s="11">
        <f>$D33+$D35+$D36+$D39</f>
        <v>98</v>
      </c>
      <c r="N131" s="10"/>
      <c r="O131" s="10"/>
    </row>
    <row r="132" spans="1:15" x14ac:dyDescent="0.25">
      <c r="A132" s="103"/>
      <c r="B132">
        <v>5.39</v>
      </c>
      <c r="C132" s="21" t="s">
        <v>156</v>
      </c>
      <c r="D132" s="167" t="s">
        <v>33</v>
      </c>
      <c r="E132" s="25" t="s">
        <v>26</v>
      </c>
      <c r="F132" s="26" t="s">
        <v>7</v>
      </c>
      <c r="G132" s="433" t="s">
        <v>82</v>
      </c>
      <c r="H132" s="112">
        <f>$H32+MAX($D85,$D86*$I32)</f>
        <v>10</v>
      </c>
      <c r="I132" s="113">
        <f>I32+MAX(E85,E86*I32)</f>
        <v>13</v>
      </c>
      <c r="J132" s="141">
        <f t="shared" si="4"/>
        <v>3</v>
      </c>
      <c r="K132" s="109"/>
      <c r="L132" s="31"/>
      <c r="M132" s="141">
        <f>$D32</f>
        <v>8</v>
      </c>
      <c r="N132" s="10"/>
      <c r="O132" s="10"/>
    </row>
    <row r="133" spans="1:15" x14ac:dyDescent="0.25">
      <c r="A133" s="103"/>
      <c r="B133" s="162">
        <v>5.4</v>
      </c>
      <c r="C133" s="42" t="s">
        <v>157</v>
      </c>
      <c r="D133" s="9" t="s">
        <v>33</v>
      </c>
      <c r="E133" s="16" t="s">
        <v>26</v>
      </c>
      <c r="F133" s="28" t="s">
        <v>8</v>
      </c>
      <c r="G133" s="434" t="s">
        <v>225</v>
      </c>
      <c r="H133" s="110">
        <f>$H33+MAX($D85,$D86*$I33)</f>
        <v>14.5</v>
      </c>
      <c r="I133" s="111">
        <f>I33+MAX(E85, E86*I33)</f>
        <v>19.071428571428569</v>
      </c>
      <c r="J133" s="11">
        <f t="shared" si="4"/>
        <v>4.5714285714285694</v>
      </c>
      <c r="K133" s="43" t="s">
        <v>13</v>
      </c>
      <c r="L133" s="27">
        <f>$D$79</f>
        <v>100</v>
      </c>
      <c r="M133" s="11">
        <f>$D32+$D36</f>
        <v>10</v>
      </c>
      <c r="N133" s="10"/>
      <c r="O133" s="10"/>
    </row>
    <row r="134" spans="1:15" x14ac:dyDescent="0.25">
      <c r="A134" s="103"/>
      <c r="B134">
        <v>5.41</v>
      </c>
      <c r="C134" s="42" t="s">
        <v>158</v>
      </c>
      <c r="D134" s="9" t="s">
        <v>33</v>
      </c>
      <c r="E134" s="16" t="s">
        <v>26</v>
      </c>
      <c r="F134" s="28" t="s">
        <v>216</v>
      </c>
      <c r="G134" s="434" t="s">
        <v>83</v>
      </c>
      <c r="H134" s="110">
        <f>$H34+MAX($D85,$D86*$I34)</f>
        <v>32</v>
      </c>
      <c r="I134" s="111">
        <f>I34+MAX(E85,E86*I34)</f>
        <v>43.257936507936506</v>
      </c>
      <c r="J134" s="11">
        <f t="shared" si="4"/>
        <v>11.257936507936506</v>
      </c>
      <c r="K134" s="43" t="s">
        <v>31</v>
      </c>
      <c r="L134" s="27">
        <f>$D$79+$D$80+$D$81</f>
        <v>310</v>
      </c>
      <c r="M134" s="11">
        <f>$D33+$D36</f>
        <v>12</v>
      </c>
      <c r="N134" s="10"/>
      <c r="O134" s="10"/>
    </row>
    <row r="135" spans="1:15" x14ac:dyDescent="0.25">
      <c r="A135" s="103"/>
      <c r="B135" s="186">
        <v>5.42</v>
      </c>
      <c r="C135" s="14" t="s">
        <v>159</v>
      </c>
      <c r="D135" s="12" t="s">
        <v>33</v>
      </c>
      <c r="E135" s="29" t="s">
        <v>26</v>
      </c>
      <c r="F135" s="30" t="s">
        <v>218</v>
      </c>
      <c r="G135" s="435" t="s">
        <v>84</v>
      </c>
      <c r="H135" s="114">
        <f>$H35+MAX($D85,$D86*$I35)</f>
        <v>120.68769841269841</v>
      </c>
      <c r="I135" s="115">
        <f>I35+MAX(E85,E86*I35)</f>
        <v>158.12936507936507</v>
      </c>
      <c r="J135" s="13">
        <f t="shared" si="4"/>
        <v>37.441666666666663</v>
      </c>
      <c r="K135" s="83" t="s">
        <v>31</v>
      </c>
      <c r="L135" s="32">
        <f>$D$79+$D$80+$D$81</f>
        <v>310</v>
      </c>
      <c r="M135" s="13">
        <f>$D33+$D35+$D36+$D39</f>
        <v>98</v>
      </c>
      <c r="N135" s="10"/>
      <c r="O135" s="10"/>
    </row>
    <row r="136" spans="1:15" x14ac:dyDescent="0.25">
      <c r="A136" s="103"/>
      <c r="C136" s="104"/>
      <c r="D136" s="16"/>
      <c r="E136" s="16"/>
      <c r="F136" s="16"/>
      <c r="G136" s="16"/>
      <c r="H136" s="16"/>
      <c r="I136" s="16"/>
      <c r="J136" s="43"/>
      <c r="K136" s="10"/>
    </row>
    <row r="137" spans="1:15" x14ac:dyDescent="0.25">
      <c r="A137" s="103"/>
      <c r="B137" s="40" t="s">
        <v>246</v>
      </c>
      <c r="C137" s="40"/>
      <c r="D137" s="40"/>
      <c r="E137" s="40"/>
      <c r="F137" s="40"/>
      <c r="G137" s="40"/>
      <c r="H137" s="40"/>
      <c r="I137" s="40"/>
      <c r="J137" s="40"/>
      <c r="K137" s="40"/>
      <c r="L137" s="40"/>
      <c r="M137" s="40"/>
      <c r="N137" s="40"/>
      <c r="O137" s="40"/>
    </row>
    <row r="138" spans="1:15" x14ac:dyDescent="0.25">
      <c r="A138" s="103"/>
      <c r="C138" s="17" t="s">
        <v>75</v>
      </c>
      <c r="D138" s="16"/>
      <c r="E138" s="16"/>
      <c r="F138" s="16"/>
      <c r="G138" s="16"/>
      <c r="H138" s="16"/>
      <c r="I138" s="16"/>
      <c r="J138" s="43"/>
      <c r="K138" s="10"/>
    </row>
    <row r="139" spans="1:15" x14ac:dyDescent="0.25">
      <c r="A139" s="103"/>
      <c r="B139">
        <v>6.1</v>
      </c>
      <c r="C139" s="105" t="s">
        <v>46</v>
      </c>
      <c r="D139" s="257" t="str">
        <f>IF(E139="Mason", 1, IF(E139="Hardware store owner", 2, IF(E139="Cement block producer", 3, "ERROR")))</f>
        <v>ERROR</v>
      </c>
      <c r="E139" s="90" t="str">
        <f>Dashboard!F8</f>
        <v>&lt;Select an option&gt;</v>
      </c>
      <c r="F139" s="79" t="s">
        <v>78</v>
      </c>
      <c r="G139" s="16"/>
      <c r="H139" s="16"/>
      <c r="I139" s="16"/>
      <c r="J139" s="43"/>
      <c r="K139" s="10"/>
    </row>
    <row r="140" spans="1:15" x14ac:dyDescent="0.25">
      <c r="A140" s="103"/>
      <c r="B140">
        <v>6.2</v>
      </c>
      <c r="C140" s="105" t="s">
        <v>37</v>
      </c>
      <c r="D140" s="257" t="str">
        <f>IF(E140="High income", 1, IF(E140="Middle-upper income", 2, IF(E140="Middle-low income", 3, IF(E140="Low income", 4, "ERROR"))))</f>
        <v>ERROR</v>
      </c>
      <c r="E140" s="90" t="str">
        <f>Dashboard!F11</f>
        <v>&lt;Select an option&gt;</v>
      </c>
      <c r="F140" s="79" t="s">
        <v>76</v>
      </c>
      <c r="G140" s="16"/>
      <c r="H140" s="16"/>
      <c r="I140" s="16"/>
      <c r="J140" s="43"/>
      <c r="K140" s="10"/>
    </row>
    <row r="141" spans="1:15" x14ac:dyDescent="0.25">
      <c r="A141" s="103"/>
      <c r="B141">
        <v>6.3</v>
      </c>
      <c r="C141" s="105" t="s">
        <v>6</v>
      </c>
      <c r="D141" s="257" t="str">
        <f>IF(E141="SaTo pan",1,IF(E141="Slab with pan",2,IF(E141="Easy Latrine",3, IF(E141="Ceramic pan, tiled latrine", 4, "ERROR"))))</f>
        <v>ERROR</v>
      </c>
      <c r="E141" s="90" t="str">
        <f>Dashboard!F14</f>
        <v>&lt;Select an option&gt;</v>
      </c>
      <c r="F141" s="79" t="s">
        <v>221</v>
      </c>
      <c r="G141" s="16"/>
      <c r="H141" s="16"/>
      <c r="I141" s="16"/>
      <c r="J141" s="43"/>
      <c r="K141" s="10"/>
    </row>
    <row r="142" spans="1:15" x14ac:dyDescent="0.25">
      <c r="A142" s="103"/>
      <c r="B142">
        <v>6.4</v>
      </c>
      <c r="C142" s="105" t="s">
        <v>40</v>
      </c>
      <c r="D142" s="257" t="str">
        <f>IF(E142="Passive", 1, IF(E142="Self-marketing", 2, IF(E142="Sales agent", 3, "ERROR")))</f>
        <v>ERROR</v>
      </c>
      <c r="E142" s="90" t="str">
        <f>Dashboard!F17</f>
        <v>&lt;Select an option&gt;</v>
      </c>
      <c r="F142" s="79" t="s">
        <v>77</v>
      </c>
      <c r="G142" s="16"/>
      <c r="H142" s="16"/>
      <c r="I142" s="16"/>
      <c r="J142" s="43"/>
      <c r="K142" s="10"/>
    </row>
    <row r="143" spans="1:15" x14ac:dyDescent="0.25">
      <c r="A143" s="103"/>
      <c r="B143">
        <v>6.5</v>
      </c>
      <c r="C143" s="105" t="s">
        <v>17</v>
      </c>
      <c r="D143" s="257" t="str">
        <f>IF(E143="Network", 1, IF(E143="One-stop-shop", 2, IF(E143="Turnkey solution provider", 3, "ERROR")))</f>
        <v>ERROR</v>
      </c>
      <c r="E143" s="90" t="str">
        <f>Dashboard!F20</f>
        <v>&lt;Select an option&gt;</v>
      </c>
      <c r="F143" s="79" t="s">
        <v>235</v>
      </c>
      <c r="G143" s="16"/>
      <c r="H143" s="16"/>
      <c r="I143" s="16"/>
      <c r="J143" s="43"/>
      <c r="K143" s="10"/>
    </row>
    <row r="144" spans="1:15" x14ac:dyDescent="0.25">
      <c r="A144" s="103"/>
      <c r="C144" s="104"/>
      <c r="D144" s="10"/>
      <c r="E144" s="16"/>
      <c r="F144" s="16"/>
      <c r="G144" s="16"/>
      <c r="H144" s="16"/>
      <c r="I144" s="16"/>
      <c r="J144" s="43"/>
      <c r="K144" s="10"/>
    </row>
    <row r="145" spans="1:11" x14ac:dyDescent="0.25">
      <c r="A145" s="103"/>
      <c r="C145" s="17" t="s">
        <v>165</v>
      </c>
      <c r="D145" s="10"/>
      <c r="E145" s="16"/>
      <c r="F145" s="16"/>
      <c r="G145" s="16"/>
      <c r="H145" s="16"/>
      <c r="I145" s="16"/>
      <c r="J145" s="43"/>
      <c r="K145" s="10"/>
    </row>
    <row r="146" spans="1:11" x14ac:dyDescent="0.25">
      <c r="A146" s="103"/>
      <c r="B146">
        <v>6.6</v>
      </c>
      <c r="C146" s="178" t="s">
        <v>121</v>
      </c>
      <c r="D146" s="31"/>
      <c r="E146" s="26" t="str">
        <f>IF(D139=1, "Mason", IF(D139=2, "Hardware store owner", IF(D139=3, "Cement block producer", "ERROR")))</f>
        <v>ERROR</v>
      </c>
      <c r="F146" s="16"/>
      <c r="G146" s="16"/>
      <c r="H146" s="16"/>
      <c r="I146" s="16"/>
      <c r="J146" s="43"/>
      <c r="K146" s="10"/>
    </row>
    <row r="147" spans="1:11" x14ac:dyDescent="0.25">
      <c r="A147" s="103"/>
      <c r="B147">
        <v>6.7</v>
      </c>
      <c r="C147" s="180" t="s">
        <v>37</v>
      </c>
      <c r="D147" s="27"/>
      <c r="E147" s="28" t="str">
        <f>IF(D140=1, "High income", IF(D140=2, "Middle-upper income", IF(D140=3, "Middle-lower income", IF(D140=4, "Low income", "ERROR"))))</f>
        <v>ERROR</v>
      </c>
      <c r="F147" s="16"/>
      <c r="G147" s="16"/>
      <c r="H147" s="16"/>
      <c r="I147" s="16"/>
      <c r="J147" s="43"/>
      <c r="K147" s="10"/>
    </row>
    <row r="148" spans="1:11" x14ac:dyDescent="0.25">
      <c r="A148" s="103"/>
      <c r="B148">
        <v>6.8</v>
      </c>
      <c r="C148" s="180" t="s">
        <v>6</v>
      </c>
      <c r="D148" s="27"/>
      <c r="E148" s="28" t="b">
        <f>IF(D141=1, "SaTo pan", IF(D141=2, "Slab with pan", IF(D141=3, "Easy Latrine", IF(D141=4, "Ceramic pan, tiled latrine"))))</f>
        <v>0</v>
      </c>
      <c r="F148" s="16"/>
      <c r="G148" s="16"/>
      <c r="H148" s="16"/>
      <c r="I148" s="16"/>
      <c r="J148" s="43"/>
      <c r="K148" s="10"/>
    </row>
    <row r="149" spans="1:11" x14ac:dyDescent="0.25">
      <c r="A149" s="103"/>
      <c r="B149">
        <v>6.9</v>
      </c>
      <c r="C149" s="180" t="s">
        <v>17</v>
      </c>
      <c r="D149" s="27"/>
      <c r="E149" s="28" t="str">
        <f>IF(D143=1, "Network", IF(D143=2, "OSS", IF(D143=3, "TSP", "ERROR")))</f>
        <v>ERROR</v>
      </c>
      <c r="F149" s="16"/>
      <c r="G149" s="16"/>
      <c r="H149" s="16"/>
      <c r="I149" s="16"/>
      <c r="J149" s="43"/>
      <c r="K149" s="10"/>
    </row>
    <row r="150" spans="1:11" x14ac:dyDescent="0.25">
      <c r="A150" s="103"/>
      <c r="B150" s="146">
        <v>6.1</v>
      </c>
      <c r="C150" s="181" t="s">
        <v>40</v>
      </c>
      <c r="D150" s="32"/>
      <c r="E150" s="30" t="e">
        <f>IF(D142=1, "Passive", IF(D142=2, "Self-marketing", IF(D142=3, "Sales agents", ERROR)))</f>
        <v>#NAME?</v>
      </c>
      <c r="F150" s="16"/>
      <c r="G150" s="16"/>
      <c r="H150" s="16"/>
      <c r="I150" s="16"/>
      <c r="J150" s="43"/>
      <c r="K150" s="10"/>
    </row>
    <row r="151" spans="1:11" x14ac:dyDescent="0.25">
      <c r="A151" s="103"/>
      <c r="D151" s="10"/>
      <c r="E151" s="16"/>
      <c r="F151" s="16"/>
      <c r="G151" s="16"/>
      <c r="H151" s="16"/>
      <c r="I151" s="16"/>
      <c r="J151" s="43"/>
      <c r="K151" s="10"/>
    </row>
    <row r="152" spans="1:11" x14ac:dyDescent="0.25">
      <c r="A152" s="103"/>
      <c r="C152" s="17" t="s">
        <v>161</v>
      </c>
      <c r="D152" s="10"/>
      <c r="E152" s="16"/>
      <c r="F152" s="16"/>
      <c r="G152" s="16"/>
      <c r="H152" s="16"/>
      <c r="I152" s="16"/>
      <c r="J152" s="43"/>
      <c r="K152" s="10"/>
    </row>
    <row r="153" spans="1:11" x14ac:dyDescent="0.25">
      <c r="A153" s="103"/>
      <c r="B153" s="186">
        <v>6.11</v>
      </c>
      <c r="C153" s="176" t="s">
        <v>209</v>
      </c>
      <c r="D153" s="39"/>
      <c r="E153" s="171" t="e">
        <f>IF(AND(D139=3,D141=1,D143=1),NA(), VLOOKUP(CONCATENATE(VALUE($D$139),VALUE($D$143), VALUE($D$141)), $C$99:$L$135,6, FALSE)*J183)</f>
        <v>#VALUE!</v>
      </c>
      <c r="F153" s="16"/>
      <c r="G153" s="16"/>
      <c r="H153" s="16"/>
      <c r="I153" s="16"/>
      <c r="J153" s="43"/>
      <c r="K153" s="10"/>
    </row>
    <row r="154" spans="1:11" x14ac:dyDescent="0.25">
      <c r="A154" s="103"/>
      <c r="C154" s="92"/>
      <c r="D154" s="16"/>
      <c r="E154" s="16"/>
      <c r="F154" s="16"/>
      <c r="G154" s="16"/>
      <c r="H154" s="16"/>
      <c r="I154" s="16"/>
      <c r="J154" s="43"/>
      <c r="K154" s="10"/>
    </row>
    <row r="155" spans="1:11" x14ac:dyDescent="0.25">
      <c r="A155" s="103"/>
      <c r="C155" s="17" t="s">
        <v>187</v>
      </c>
      <c r="D155" s="16"/>
      <c r="E155" s="16"/>
      <c r="F155" s="16"/>
      <c r="G155" s="16"/>
      <c r="H155" s="16"/>
      <c r="I155" s="16"/>
      <c r="J155" s="43"/>
      <c r="K155" s="10"/>
    </row>
    <row r="156" spans="1:11" x14ac:dyDescent="0.25">
      <c r="A156" s="103"/>
      <c r="B156">
        <v>6.12</v>
      </c>
      <c r="C156" s="178" t="s">
        <v>121</v>
      </c>
      <c r="D156" s="26"/>
      <c r="E156" s="213" t="str">
        <f>E146</f>
        <v>ERROR</v>
      </c>
      <c r="F156" s="16"/>
      <c r="G156" s="16"/>
      <c r="H156" s="16"/>
      <c r="I156" s="16"/>
      <c r="J156" s="43"/>
      <c r="K156" s="10"/>
    </row>
    <row r="157" spans="1:11" x14ac:dyDescent="0.25">
      <c r="A157" s="103"/>
      <c r="B157">
        <v>6.13</v>
      </c>
      <c r="C157" s="180" t="s">
        <v>6</v>
      </c>
      <c r="D157" s="28"/>
      <c r="E157" s="214" t="b">
        <f>E148</f>
        <v>0</v>
      </c>
      <c r="F157" s="16"/>
      <c r="G157" s="16"/>
      <c r="H157" s="16"/>
      <c r="I157" s="16"/>
      <c r="J157" s="43"/>
      <c r="K157" s="10"/>
    </row>
    <row r="158" spans="1:11" x14ac:dyDescent="0.25">
      <c r="A158" s="103"/>
      <c r="B158">
        <v>6.14</v>
      </c>
      <c r="C158" s="180" t="s">
        <v>194</v>
      </c>
      <c r="D158" s="28"/>
      <c r="E158" s="215" t="e">
        <f>IF(E149="Network",0,INDEX($D$71:$G$73,D139,D141))</f>
        <v>#VALUE!</v>
      </c>
      <c r="F158" s="16"/>
      <c r="G158" s="16"/>
      <c r="H158" s="16"/>
      <c r="I158" s="16"/>
      <c r="J158" s="43"/>
      <c r="K158" s="10"/>
    </row>
    <row r="159" spans="1:11" x14ac:dyDescent="0.25">
      <c r="A159" s="103"/>
      <c r="B159">
        <v>6.15</v>
      </c>
      <c r="C159" s="180" t="s">
        <v>195</v>
      </c>
      <c r="D159" s="28"/>
      <c r="E159" s="215" t="e">
        <f>E158*J183</f>
        <v>#VALUE!</v>
      </c>
      <c r="F159" s="16"/>
      <c r="G159" s="16"/>
      <c r="H159" s="16"/>
      <c r="I159" s="16"/>
      <c r="J159" s="43"/>
      <c r="K159" s="10"/>
    </row>
    <row r="160" spans="1:11" x14ac:dyDescent="0.25">
      <c r="A160" s="103"/>
      <c r="B160">
        <v>6.16</v>
      </c>
      <c r="C160" s="180" t="s">
        <v>166</v>
      </c>
      <c r="D160" s="28"/>
      <c r="E160" s="215" t="e">
        <f>E150</f>
        <v>#NAME?</v>
      </c>
      <c r="F160" s="16"/>
      <c r="G160" s="16"/>
      <c r="H160" s="16"/>
      <c r="I160" s="16"/>
      <c r="J160" s="43"/>
      <c r="K160" s="10"/>
    </row>
    <row r="161" spans="1:11" x14ac:dyDescent="0.25">
      <c r="A161" s="103"/>
      <c r="B161">
        <v>6.17</v>
      </c>
      <c r="C161" s="180" t="s">
        <v>192</v>
      </c>
      <c r="D161" s="28"/>
      <c r="E161" s="216">
        <f>IF(D142=3, $E$66,0)</f>
        <v>0</v>
      </c>
      <c r="F161" s="16"/>
      <c r="G161" s="16"/>
      <c r="H161" s="16"/>
      <c r="I161" s="16"/>
      <c r="J161" s="43"/>
      <c r="K161" s="10"/>
    </row>
    <row r="162" spans="1:11" x14ac:dyDescent="0.25">
      <c r="A162" s="103"/>
      <c r="B162">
        <v>6.18</v>
      </c>
      <c r="C162" s="180" t="s">
        <v>191</v>
      </c>
      <c r="D162" s="28"/>
      <c r="E162" s="234">
        <f>($D$64-$D$62)/$D$64</f>
        <v>0.66666666666666663</v>
      </c>
      <c r="F162" s="16"/>
      <c r="G162" s="16"/>
      <c r="H162" s="16"/>
      <c r="I162" s="16"/>
      <c r="J162" s="43"/>
      <c r="K162" s="10"/>
    </row>
    <row r="163" spans="1:11" x14ac:dyDescent="0.25">
      <c r="A163" s="103"/>
      <c r="B163" s="162">
        <v>6.19</v>
      </c>
      <c r="C163" s="180" t="s">
        <v>208</v>
      </c>
      <c r="D163" s="2"/>
      <c r="E163" s="217" t="e">
        <f>E161*E162*J183*E170</f>
        <v>#VALUE!</v>
      </c>
      <c r="F163" s="16"/>
      <c r="G163" s="16"/>
      <c r="H163" s="16"/>
      <c r="I163" s="16"/>
      <c r="J163" s="43"/>
      <c r="K163" s="10"/>
    </row>
    <row r="164" spans="1:11" x14ac:dyDescent="0.25">
      <c r="A164" s="103"/>
      <c r="B164" s="162">
        <v>6.2</v>
      </c>
      <c r="C164" s="176" t="s">
        <v>193</v>
      </c>
      <c r="D164" s="24"/>
      <c r="E164" s="171" t="e">
        <f>E159+E163</f>
        <v>#VALUE!</v>
      </c>
      <c r="F164" s="16"/>
      <c r="G164" s="16"/>
      <c r="H164" s="16"/>
      <c r="I164" s="16"/>
      <c r="J164" s="43"/>
      <c r="K164" s="10"/>
    </row>
    <row r="165" spans="1:11" x14ac:dyDescent="0.25">
      <c r="A165" s="103"/>
      <c r="C165" s="92"/>
      <c r="D165" s="16"/>
      <c r="E165" s="16"/>
      <c r="F165" s="16"/>
      <c r="G165" s="16"/>
      <c r="H165" s="16"/>
      <c r="I165" s="16"/>
      <c r="J165" s="43"/>
      <c r="K165" s="10"/>
    </row>
    <row r="166" spans="1:11" x14ac:dyDescent="0.25">
      <c r="A166" s="103"/>
      <c r="C166" s="17" t="s">
        <v>120</v>
      </c>
      <c r="D166" s="16"/>
      <c r="E166" s="16"/>
      <c r="F166" s="16"/>
      <c r="G166" s="16"/>
      <c r="H166" s="16"/>
      <c r="I166" s="16"/>
      <c r="J166" s="43"/>
      <c r="K166" s="10"/>
    </row>
    <row r="167" spans="1:11" x14ac:dyDescent="0.25">
      <c r="A167" s="103"/>
      <c r="B167" s="162">
        <v>6.21</v>
      </c>
      <c r="C167" s="178" t="s">
        <v>119</v>
      </c>
      <c r="D167" s="26"/>
      <c r="E167" s="183" t="e">
        <f>VLOOKUP(CONCATENATE(VALUE($D$139),VALUE($D$143), VALUE($D$141)), $C$99:$L$135,7, FALSE)</f>
        <v>#VALUE!</v>
      </c>
      <c r="F167" s="16"/>
      <c r="G167" s="16"/>
      <c r="H167" s="16"/>
      <c r="I167" s="16"/>
      <c r="J167" s="43"/>
      <c r="K167" s="10"/>
    </row>
    <row r="168" spans="1:11" x14ac:dyDescent="0.25">
      <c r="A168" s="103"/>
      <c r="B168" s="162">
        <v>6.22</v>
      </c>
      <c r="C168" s="180" t="s">
        <v>37</v>
      </c>
      <c r="D168" s="27"/>
      <c r="E168" s="184" t="str">
        <f>E147</f>
        <v>ERROR</v>
      </c>
      <c r="F168" s="16"/>
      <c r="G168" s="16"/>
      <c r="H168" s="16"/>
      <c r="I168" s="16"/>
      <c r="J168" s="43"/>
      <c r="K168" s="10"/>
    </row>
    <row r="169" spans="1:11" x14ac:dyDescent="0.25">
      <c r="A169" s="103"/>
      <c r="B169" s="162">
        <v>6.23</v>
      </c>
      <c r="C169" s="180" t="s">
        <v>9</v>
      </c>
      <c r="D169" s="27"/>
      <c r="E169" s="185" t="e">
        <f>INDEX($D$46:$G$49,D141,D140)</f>
        <v>#VALUE!</v>
      </c>
      <c r="F169" s="16"/>
      <c r="G169" s="16"/>
      <c r="H169" s="16"/>
      <c r="I169" s="16"/>
      <c r="J169" s="43"/>
      <c r="K169" s="10"/>
    </row>
    <row r="170" spans="1:11" x14ac:dyDescent="0.25">
      <c r="A170" s="103"/>
      <c r="B170" s="196">
        <v>6.24</v>
      </c>
      <c r="C170" s="181" t="s">
        <v>12</v>
      </c>
      <c r="D170" s="32"/>
      <c r="E170" s="201" t="e">
        <f>IF(AND(D139=3,D141=1,D143=1),NA(),E167*(1+E169))</f>
        <v>#VALUE!</v>
      </c>
      <c r="F170" s="16"/>
      <c r="G170" s="16"/>
      <c r="H170" s="16"/>
      <c r="I170" s="16"/>
      <c r="J170" s="43"/>
      <c r="K170" s="10"/>
    </row>
    <row r="171" spans="1:11" x14ac:dyDescent="0.25">
      <c r="A171" s="103"/>
      <c r="C171" s="92"/>
      <c r="D171" s="10"/>
      <c r="E171" s="16"/>
      <c r="F171" s="16"/>
      <c r="G171" s="16"/>
      <c r="H171" s="16"/>
      <c r="I171" s="16"/>
      <c r="J171" s="43"/>
      <c r="K171" s="10"/>
    </row>
    <row r="172" spans="1:11" x14ac:dyDescent="0.25">
      <c r="A172" s="103"/>
      <c r="C172" s="17" t="s">
        <v>160</v>
      </c>
      <c r="D172" s="10"/>
      <c r="E172" s="16"/>
      <c r="F172" s="16"/>
      <c r="G172" s="16"/>
      <c r="H172" s="16"/>
      <c r="I172" s="16"/>
      <c r="J172" s="43"/>
      <c r="K172" s="10"/>
    </row>
    <row r="173" spans="1:11" x14ac:dyDescent="0.25">
      <c r="A173" s="103"/>
      <c r="B173" s="196">
        <v>6.25</v>
      </c>
      <c r="C173" s="178" t="s">
        <v>37</v>
      </c>
      <c r="D173" s="153"/>
      <c r="E173" s="193" t="str">
        <f>E147</f>
        <v>ERROR</v>
      </c>
      <c r="F173" s="25"/>
      <c r="G173" s="25"/>
      <c r="H173" s="25"/>
      <c r="I173" s="25"/>
      <c r="J173" s="190"/>
      <c r="K173" s="10"/>
    </row>
    <row r="174" spans="1:11" x14ac:dyDescent="0.25">
      <c r="A174" s="103"/>
      <c r="B174" s="196">
        <v>6.26</v>
      </c>
      <c r="C174" s="180" t="s">
        <v>12</v>
      </c>
      <c r="D174" s="27"/>
      <c r="E174" s="11" t="e">
        <f>E170</f>
        <v>#VALUE!</v>
      </c>
      <c r="F174" s="16"/>
      <c r="G174" s="16"/>
      <c r="H174" s="16"/>
      <c r="I174" s="16"/>
      <c r="J174" s="137"/>
      <c r="K174" s="10"/>
    </row>
    <row r="175" spans="1:11" x14ac:dyDescent="0.25">
      <c r="A175" s="103"/>
      <c r="B175" s="152">
        <v>6.27</v>
      </c>
      <c r="C175" s="180" t="s">
        <v>40</v>
      </c>
      <c r="D175" s="27"/>
      <c r="E175" s="194" t="e">
        <f>E150</f>
        <v>#NAME?</v>
      </c>
      <c r="F175" s="16"/>
      <c r="G175" s="16"/>
      <c r="H175" s="16"/>
      <c r="I175" s="16"/>
      <c r="J175" s="137"/>
      <c r="K175" s="10"/>
    </row>
    <row r="176" spans="1:11" s="154" customFormat="1" x14ac:dyDescent="0.25">
      <c r="A176" s="187"/>
      <c r="B176" s="202">
        <v>6.28</v>
      </c>
      <c r="C176" s="197" t="s">
        <v>9</v>
      </c>
      <c r="D176" s="151"/>
      <c r="E176" s="150" t="e">
        <f>E169</f>
        <v>#VALUE!</v>
      </c>
      <c r="F176" s="156"/>
      <c r="G176" s="156"/>
      <c r="H176" s="156"/>
      <c r="I176" s="156"/>
      <c r="J176" s="157"/>
      <c r="K176" s="159"/>
    </row>
    <row r="177" spans="1:11" s="154" customFormat="1" x14ac:dyDescent="0.25">
      <c r="A177" s="187"/>
      <c r="B177" s="152"/>
      <c r="C177" s="396"/>
      <c r="D177" s="397"/>
      <c r="E177" s="398"/>
      <c r="F177" s="420" t="s">
        <v>0</v>
      </c>
      <c r="G177" s="421"/>
      <c r="H177" s="421"/>
      <c r="I177" s="421"/>
      <c r="J177" s="422"/>
      <c r="K177" s="159"/>
    </row>
    <row r="178" spans="1:11" s="154" customFormat="1" x14ac:dyDescent="0.25">
      <c r="A178" s="187"/>
      <c r="B178" s="152"/>
      <c r="C178" s="399"/>
      <c r="D178" s="400"/>
      <c r="E178" s="401"/>
      <c r="F178" s="142" t="s">
        <v>1</v>
      </c>
      <c r="G178" s="142" t="s">
        <v>44</v>
      </c>
      <c r="H178" s="142" t="s">
        <v>167</v>
      </c>
      <c r="I178" s="142" t="s">
        <v>2</v>
      </c>
      <c r="J178" s="192" t="s">
        <v>168</v>
      </c>
      <c r="K178" s="159"/>
    </row>
    <row r="179" spans="1:11" x14ac:dyDescent="0.25">
      <c r="A179" s="103"/>
      <c r="B179" s="152">
        <v>6.29</v>
      </c>
      <c r="C179" s="178" t="s">
        <v>170</v>
      </c>
      <c r="D179" s="179"/>
      <c r="E179" s="26"/>
      <c r="F179" s="284" t="e">
        <f>D$19*INDEX($D$25:$G$28,$D$141,1)</f>
        <v>#VALUE!</v>
      </c>
      <c r="G179" s="284" t="e">
        <f>E$19*INDEX($D$25:$G$28,$D$141,2)</f>
        <v>#VALUE!</v>
      </c>
      <c r="H179" s="284" t="e">
        <f>F$19*INDEX($D$25:$G$28,$D$141,3)</f>
        <v>#VALUE!</v>
      </c>
      <c r="I179" s="284" t="e">
        <f>G$19*INDEX($D$25:$G$28,$D$141,4)</f>
        <v>#VALUE!</v>
      </c>
      <c r="J179" s="28" t="e">
        <f>SUM(F179:I179)</f>
        <v>#VALUE!</v>
      </c>
      <c r="K179" s="10"/>
    </row>
    <row r="180" spans="1:11" x14ac:dyDescent="0.25">
      <c r="A180" s="103"/>
      <c r="B180" s="202">
        <v>6.3</v>
      </c>
      <c r="C180" s="180" t="s">
        <v>210</v>
      </c>
      <c r="D180" s="10"/>
      <c r="E180" s="28"/>
      <c r="F180" s="243" t="e">
        <f>INDEX($D$62:$G$64,$D$142,1)</f>
        <v>#VALUE!</v>
      </c>
      <c r="G180" s="198" t="e">
        <f>INDEX($D$62:$G$64,$D$142,2)</f>
        <v>#VALUE!</v>
      </c>
      <c r="H180" s="198" t="e">
        <f>INDEX($D$62:$G$64,$D$142,3)</f>
        <v>#VALUE!</v>
      </c>
      <c r="I180" s="198" t="e">
        <f>INDEX($D$62:$G$64,$D$142,4)</f>
        <v>#VALUE!</v>
      </c>
      <c r="J180" s="191"/>
      <c r="K180" s="10"/>
    </row>
    <row r="181" spans="1:11" x14ac:dyDescent="0.25">
      <c r="A181" s="103"/>
      <c r="B181" s="152">
        <v>6.31</v>
      </c>
      <c r="C181" s="180" t="s">
        <v>171</v>
      </c>
      <c r="D181" s="5"/>
      <c r="E181" s="2"/>
      <c r="F181" s="284" t="e">
        <f>F179*F180</f>
        <v>#VALUE!</v>
      </c>
      <c r="G181" s="284" t="e">
        <f t="shared" ref="G181:I181" si="7">G179*G180</f>
        <v>#VALUE!</v>
      </c>
      <c r="H181" s="284" t="e">
        <f t="shared" si="7"/>
        <v>#VALUE!</v>
      </c>
      <c r="I181" s="284" t="e">
        <f t="shared" si="7"/>
        <v>#VALUE!</v>
      </c>
      <c r="J181" s="275" t="e">
        <f>SUM(F181:I181)</f>
        <v>#VALUE!</v>
      </c>
      <c r="K181" s="10"/>
    </row>
    <row r="182" spans="1:11" x14ac:dyDescent="0.25">
      <c r="A182" s="103"/>
      <c r="B182" s="152">
        <v>6.32</v>
      </c>
      <c r="C182" s="180" t="s">
        <v>172</v>
      </c>
      <c r="D182" s="10"/>
      <c r="E182" s="28"/>
      <c r="F182" s="195" t="e">
        <f>-$E$176*100*INDEX($D$54:$G$57,$D$141,1)</f>
        <v>#VALUE!</v>
      </c>
      <c r="G182" s="195" t="e">
        <f>-$E$176*100*INDEX($D$54:$G$57,$D$141,2)</f>
        <v>#VALUE!</v>
      </c>
      <c r="H182" s="195" t="e">
        <f>-$E$176*100*INDEX($D$54:$G$57,$D$141,3)</f>
        <v>#VALUE!</v>
      </c>
      <c r="I182" s="195" t="e">
        <f>-$E$176*100*INDEX($D$54:$G$57,$D$141,4)</f>
        <v>#VALUE!</v>
      </c>
      <c r="J182" s="28"/>
      <c r="K182" s="10"/>
    </row>
    <row r="183" spans="1:11" x14ac:dyDescent="0.25">
      <c r="A183" s="103"/>
      <c r="B183" s="152">
        <v>6.33</v>
      </c>
      <c r="C183" s="181" t="s">
        <v>173</v>
      </c>
      <c r="D183" s="182"/>
      <c r="E183" s="30"/>
      <c r="F183" s="199" t="e">
        <f>F181*(1+F182)</f>
        <v>#VALUE!</v>
      </c>
      <c r="G183" s="199" t="e">
        <f>G181*(1+G182)</f>
        <v>#VALUE!</v>
      </c>
      <c r="H183" s="199" t="e">
        <f>H181*(1+H182)</f>
        <v>#VALUE!</v>
      </c>
      <c r="I183" s="199" t="e">
        <f>I181*(1+I182)</f>
        <v>#VALUE!</v>
      </c>
      <c r="J183" s="200" t="e">
        <f>SUM(F183:I183)</f>
        <v>#VALUE!</v>
      </c>
      <c r="K183" s="10"/>
    </row>
    <row r="184" spans="1:11" x14ac:dyDescent="0.25">
      <c r="A184" s="103"/>
      <c r="B184" s="152"/>
      <c r="C184" s="92"/>
      <c r="D184" s="10"/>
      <c r="E184" s="16"/>
      <c r="F184" s="10"/>
      <c r="G184" s="10"/>
      <c r="H184" s="10"/>
      <c r="I184" s="10"/>
      <c r="J184" s="253"/>
      <c r="K184" s="10"/>
    </row>
    <row r="185" spans="1:11" x14ac:dyDescent="0.25">
      <c r="A185" s="103"/>
      <c r="B185" s="152">
        <v>6.34</v>
      </c>
      <c r="C185" s="254" t="s">
        <v>205</v>
      </c>
      <c r="D185" s="255"/>
      <c r="E185" s="201" t="e">
        <f>INDEX($E$8:$E$10,D139)</f>
        <v>#VALUE!</v>
      </c>
      <c r="F185" s="10"/>
      <c r="G185" s="10"/>
      <c r="H185" s="10"/>
      <c r="I185" s="10"/>
      <c r="J185" s="253"/>
      <c r="K185" s="10"/>
    </row>
    <row r="186" spans="1:11" x14ac:dyDescent="0.25">
      <c r="A186" s="103"/>
      <c r="B186" s="152"/>
      <c r="C186" s="92"/>
      <c r="D186" s="10"/>
      <c r="E186" s="16"/>
      <c r="F186" s="10"/>
      <c r="G186" s="10"/>
      <c r="H186" s="10"/>
      <c r="I186" s="10"/>
      <c r="J186" s="253"/>
      <c r="K186" s="10"/>
    </row>
    <row r="187" spans="1:11" x14ac:dyDescent="0.25">
      <c r="A187" s="103"/>
      <c r="B187" s="152">
        <v>6.35</v>
      </c>
      <c r="C187" s="254" t="s">
        <v>201</v>
      </c>
      <c r="D187" s="255"/>
      <c r="E187" s="201" t="e">
        <f>VLOOKUP(CONCATENATE(VALUE(D139),VALUE(D143), VALUE(D141)), $C$99:$L$135,10, FALSE)</f>
        <v>#VALUE!</v>
      </c>
      <c r="F187" s="10"/>
      <c r="G187" s="10"/>
      <c r="H187" s="10"/>
      <c r="I187" s="10"/>
      <c r="J187" s="253"/>
      <c r="K187" s="10"/>
    </row>
    <row r="188" spans="1:11" x14ac:dyDescent="0.25">
      <c r="A188" s="103"/>
      <c r="B188" s="152"/>
      <c r="C188" s="92"/>
      <c r="D188" s="10"/>
      <c r="E188" s="16"/>
      <c r="F188" s="10"/>
      <c r="G188" s="10"/>
      <c r="H188" s="10"/>
      <c r="I188" s="10"/>
      <c r="J188" s="253"/>
      <c r="K188" s="10"/>
    </row>
    <row r="189" spans="1:11" x14ac:dyDescent="0.25">
      <c r="A189" s="103"/>
      <c r="C189" s="17" t="s">
        <v>196</v>
      </c>
      <c r="D189" s="10"/>
      <c r="E189" s="16"/>
      <c r="F189" s="16"/>
      <c r="G189" s="16"/>
      <c r="H189" s="16"/>
      <c r="I189" s="16"/>
      <c r="J189" s="43"/>
      <c r="K189" s="10"/>
    </row>
    <row r="190" spans="1:11" x14ac:dyDescent="0.25">
      <c r="A190" s="103"/>
      <c r="B190">
        <v>6.36</v>
      </c>
      <c r="C190" s="178" t="s">
        <v>197</v>
      </c>
      <c r="D190" s="179"/>
      <c r="E190" s="26">
        <f>$F$11</f>
        <v>1</v>
      </c>
      <c r="F190" s="16"/>
      <c r="G190" s="16"/>
      <c r="H190" s="16"/>
      <c r="I190" s="16"/>
      <c r="J190" s="43"/>
      <c r="K190" s="10"/>
    </row>
    <row r="191" spans="1:11" x14ac:dyDescent="0.25">
      <c r="A191" s="103"/>
      <c r="B191">
        <v>6.37</v>
      </c>
      <c r="C191" s="180" t="s">
        <v>198</v>
      </c>
      <c r="D191" s="10"/>
      <c r="E191" s="28" t="e">
        <f>$J$183</f>
        <v>#VALUE!</v>
      </c>
      <c r="F191" s="16"/>
      <c r="G191" s="16"/>
      <c r="H191" s="16"/>
      <c r="I191" s="16"/>
      <c r="J191" s="43"/>
      <c r="K191" s="10"/>
    </row>
    <row r="192" spans="1:11" x14ac:dyDescent="0.25">
      <c r="A192" s="103"/>
      <c r="B192">
        <v>6.38</v>
      </c>
      <c r="C192" s="180" t="s">
        <v>230</v>
      </c>
      <c r="D192" s="10"/>
      <c r="E192" s="28" t="e">
        <f>VLOOKUP(CONCATENATE(VALUE($D$139),VALUE($D$143),VALUE($D$141)),$C$99:$M$135,11,FALSE)*E191</f>
        <v>#VALUE!</v>
      </c>
      <c r="F192" s="16"/>
      <c r="G192" s="16"/>
      <c r="H192" s="16"/>
      <c r="I192" s="16"/>
      <c r="J192" s="43"/>
      <c r="K192" s="10"/>
    </row>
    <row r="193" spans="1:15" x14ac:dyDescent="0.25">
      <c r="A193" s="103"/>
      <c r="B193">
        <v>6.39</v>
      </c>
      <c r="C193" s="181" t="s">
        <v>199</v>
      </c>
      <c r="D193" s="182"/>
      <c r="E193" s="288" t="e">
        <f>E192*E190/12</f>
        <v>#VALUE!</v>
      </c>
      <c r="F193" s="16"/>
      <c r="G193" s="16"/>
      <c r="H193" s="16"/>
      <c r="I193" s="16"/>
      <c r="J193" s="43"/>
      <c r="K193" s="10"/>
    </row>
    <row r="194" spans="1:15" x14ac:dyDescent="0.25">
      <c r="A194" s="103"/>
      <c r="C194" s="92"/>
      <c r="D194" s="10"/>
      <c r="E194" s="273"/>
      <c r="F194" s="16"/>
      <c r="G194" s="16"/>
      <c r="H194" s="16"/>
      <c r="I194" s="16"/>
      <c r="J194" s="43"/>
      <c r="K194" s="10"/>
    </row>
    <row r="195" spans="1:15" x14ac:dyDescent="0.25">
      <c r="A195" s="103"/>
      <c r="B195" s="162">
        <v>6.4</v>
      </c>
      <c r="C195" s="254" t="s">
        <v>41</v>
      </c>
      <c r="D195" s="255"/>
      <c r="E195" s="201" t="e">
        <f>INDEX($D$8:$D$10,D139)</f>
        <v>#VALUE!</v>
      </c>
      <c r="F195" s="16"/>
      <c r="G195" s="16"/>
      <c r="H195" s="16"/>
      <c r="I195" s="16"/>
      <c r="J195" s="43"/>
      <c r="K195" s="10"/>
    </row>
    <row r="196" spans="1:15" x14ac:dyDescent="0.25">
      <c r="A196" s="103"/>
      <c r="C196" s="92"/>
      <c r="D196" s="10"/>
      <c r="E196" s="16"/>
      <c r="F196" s="16"/>
      <c r="G196" s="101"/>
      <c r="H196" s="5"/>
      <c r="I196" s="175"/>
      <c r="J196" s="16"/>
    </row>
    <row r="197" spans="1:15" x14ac:dyDescent="0.25">
      <c r="A197" s="218"/>
      <c r="B197" s="40" t="s">
        <v>247</v>
      </c>
      <c r="C197" s="219"/>
      <c r="D197" s="219"/>
      <c r="E197" s="219"/>
      <c r="F197" s="219"/>
      <c r="G197" s="219"/>
      <c r="H197" s="219"/>
      <c r="I197" s="219"/>
      <c r="J197" s="219"/>
      <c r="K197" s="219"/>
      <c r="L197" s="219"/>
      <c r="M197" s="219"/>
      <c r="N197" s="219"/>
      <c r="O197" s="219"/>
    </row>
    <row r="198" spans="1:15" x14ac:dyDescent="0.25">
      <c r="A198" s="218"/>
      <c r="B198" s="235"/>
      <c r="C198" s="17" t="s">
        <v>75</v>
      </c>
      <c r="D198" s="16"/>
      <c r="E198" s="16"/>
      <c r="F198" s="16"/>
      <c r="G198" s="16"/>
      <c r="H198" s="221"/>
      <c r="I198" s="221"/>
      <c r="J198" s="222"/>
      <c r="K198" s="223"/>
      <c r="L198" s="220"/>
      <c r="M198" s="220"/>
      <c r="N198" s="220"/>
      <c r="O198" s="220"/>
    </row>
    <row r="199" spans="1:15" x14ac:dyDescent="0.25">
      <c r="A199" s="218"/>
      <c r="B199" s="235">
        <f>B139+1</f>
        <v>7.1</v>
      </c>
      <c r="C199" s="165" t="s">
        <v>46</v>
      </c>
      <c r="D199" s="257" t="str">
        <f>IF(E199="Mason", 1, IF(E199="Hardware store owner", 2, IF(E199="Cement block producer", 3, "ERROR")))</f>
        <v>ERROR</v>
      </c>
      <c r="E199" s="90" t="str">
        <f>Dashboard!J8</f>
        <v>&lt;Select an option&gt;</v>
      </c>
      <c r="F199" s="79" t="s">
        <v>78</v>
      </c>
      <c r="G199" s="16"/>
      <c r="H199" s="221"/>
      <c r="I199" s="221"/>
      <c r="J199" s="222"/>
      <c r="K199" s="223"/>
      <c r="L199" s="220"/>
      <c r="M199" s="220"/>
      <c r="N199" s="220"/>
      <c r="O199" s="220"/>
    </row>
    <row r="200" spans="1:15" x14ac:dyDescent="0.25">
      <c r="A200" s="218"/>
      <c r="B200" s="235">
        <f t="shared" ref="B200:B203" si="8">B140+1</f>
        <v>7.2</v>
      </c>
      <c r="C200" s="165" t="s">
        <v>37</v>
      </c>
      <c r="D200" s="257" t="str">
        <f>IF(E200="High income", 1, IF(E200="Middle-upper income", 2, IF(E200="Middle-low income", 3, IF(E200="Low income", 4, "ERROR"))))</f>
        <v>ERROR</v>
      </c>
      <c r="E200" s="90" t="str">
        <f>Dashboard!J11</f>
        <v>&lt;Select an option&gt;</v>
      </c>
      <c r="F200" s="79" t="s">
        <v>76</v>
      </c>
      <c r="G200" s="16"/>
      <c r="H200" s="221"/>
      <c r="I200" s="221"/>
      <c r="J200" s="222"/>
      <c r="K200" s="223"/>
      <c r="L200" s="220"/>
      <c r="M200" s="220"/>
      <c r="N200" s="220"/>
      <c r="O200" s="220"/>
    </row>
    <row r="201" spans="1:15" x14ac:dyDescent="0.25">
      <c r="A201" s="218"/>
      <c r="B201" s="235">
        <f t="shared" si="8"/>
        <v>7.3</v>
      </c>
      <c r="C201" s="165" t="s">
        <v>6</v>
      </c>
      <c r="D201" s="257" t="str">
        <f>IF(E201="SaTo pan",1,IF(E201="Slab with pan",2,IF(E201="Easy Latrine",3, IF(E201="Ceramic pan, tiled latrine", 4, "ERROR"))))</f>
        <v>ERROR</v>
      </c>
      <c r="E201" s="90" t="str">
        <f>Dashboard!J14</f>
        <v>&lt;Select an option&gt;</v>
      </c>
      <c r="F201" s="79" t="s">
        <v>221</v>
      </c>
      <c r="G201" s="16"/>
      <c r="H201" s="221"/>
      <c r="I201" s="221"/>
      <c r="J201" s="222"/>
      <c r="K201" s="223"/>
      <c r="L201" s="220"/>
      <c r="M201" s="220"/>
      <c r="N201" s="220"/>
      <c r="O201" s="220"/>
    </row>
    <row r="202" spans="1:15" x14ac:dyDescent="0.25">
      <c r="A202" s="218"/>
      <c r="B202" s="235">
        <f t="shared" si="8"/>
        <v>7.4</v>
      </c>
      <c r="C202" s="165" t="s">
        <v>40</v>
      </c>
      <c r="D202" s="257" t="str">
        <f>IF(E202="Passive", 1, IF(E202="Self-marketing", 2, IF(E202="Sales agent", 3, "ERROR")))</f>
        <v>ERROR</v>
      </c>
      <c r="E202" s="90" t="str">
        <f>Dashboard!J17</f>
        <v>&lt;Select an option&gt;</v>
      </c>
      <c r="F202" s="79" t="s">
        <v>77</v>
      </c>
      <c r="G202" s="16"/>
      <c r="H202" s="221"/>
      <c r="I202" s="221"/>
      <c r="J202" s="222"/>
      <c r="K202" s="223"/>
      <c r="L202" s="220"/>
      <c r="M202" s="220"/>
      <c r="N202" s="220"/>
      <c r="O202" s="220"/>
    </row>
    <row r="203" spans="1:15" x14ac:dyDescent="0.25">
      <c r="A203" s="218"/>
      <c r="B203" s="235">
        <f t="shared" si="8"/>
        <v>7.5</v>
      </c>
      <c r="C203" s="165" t="s">
        <v>17</v>
      </c>
      <c r="D203" s="257" t="str">
        <f>IF(E203="Network", 1, IF(E203="One-stop-shop", 2, IF(E203="Turnkey solution provider", 3, "ERROR")))</f>
        <v>ERROR</v>
      </c>
      <c r="E203" s="90" t="str">
        <f>Dashboard!J20</f>
        <v>&lt;Select an option&gt;</v>
      </c>
      <c r="F203" s="79" t="s">
        <v>235</v>
      </c>
      <c r="G203" s="16"/>
      <c r="H203" s="221"/>
      <c r="I203" s="221"/>
      <c r="J203" s="222"/>
      <c r="K203" s="223"/>
      <c r="L203" s="220"/>
      <c r="M203" s="220"/>
      <c r="N203" s="220"/>
      <c r="O203" s="220"/>
    </row>
    <row r="204" spans="1:15" x14ac:dyDescent="0.25">
      <c r="A204" s="218"/>
      <c r="B204" s="235"/>
      <c r="C204" s="92"/>
      <c r="D204" s="10"/>
      <c r="E204" s="16"/>
      <c r="F204" s="16"/>
      <c r="G204" s="16"/>
      <c r="H204" s="221"/>
      <c r="I204" s="221"/>
      <c r="J204" s="222"/>
      <c r="K204" s="223"/>
      <c r="L204" s="220"/>
      <c r="M204" s="220"/>
      <c r="N204" s="220"/>
      <c r="O204" s="220"/>
    </row>
    <row r="205" spans="1:15" x14ac:dyDescent="0.25">
      <c r="A205" s="218"/>
      <c r="B205" s="235"/>
      <c r="C205" s="17" t="s">
        <v>165</v>
      </c>
      <c r="D205" s="10"/>
      <c r="E205" s="16"/>
      <c r="F205" s="16"/>
      <c r="G205" s="16"/>
      <c r="H205" s="221"/>
      <c r="I205" s="221"/>
      <c r="J205" s="222"/>
      <c r="K205" s="223"/>
      <c r="L205" s="220"/>
      <c r="M205" s="220"/>
      <c r="N205" s="220"/>
      <c r="O205" s="220"/>
    </row>
    <row r="206" spans="1:15" x14ac:dyDescent="0.25">
      <c r="A206" s="218"/>
      <c r="B206" s="235">
        <f>B146+1</f>
        <v>7.6</v>
      </c>
      <c r="C206" s="178" t="s">
        <v>121</v>
      </c>
      <c r="D206" s="31"/>
      <c r="E206" s="26" t="str">
        <f>IF(D199=1, "Mason", IF(D199=2, "Hardware store owner", IF(D199=3, "Cement block producer", "ERROR")))</f>
        <v>ERROR</v>
      </c>
      <c r="F206" s="16"/>
      <c r="G206" s="16"/>
      <c r="H206" s="221"/>
      <c r="I206" s="221"/>
      <c r="J206" s="222"/>
      <c r="K206" s="223"/>
      <c r="L206" s="220"/>
      <c r="M206" s="220"/>
      <c r="N206" s="220"/>
      <c r="O206" s="220"/>
    </row>
    <row r="207" spans="1:15" x14ac:dyDescent="0.25">
      <c r="A207" s="218"/>
      <c r="B207" s="235">
        <f t="shared" ref="B207:B210" si="9">B147+1</f>
        <v>7.7</v>
      </c>
      <c r="C207" s="180" t="s">
        <v>37</v>
      </c>
      <c r="D207" s="27"/>
      <c r="E207" s="28" t="str">
        <f>IF(D200=1, "High income", IF(D200=2, "Middle-upper income", IF(D200=3, "Middle-lower income", IF(D200=4, "Low income", "ERROR"))))</f>
        <v>ERROR</v>
      </c>
      <c r="F207" s="16"/>
      <c r="G207" s="16"/>
      <c r="H207" s="221"/>
      <c r="I207" s="221"/>
      <c r="J207" s="222"/>
      <c r="K207" s="223"/>
      <c r="L207" s="220"/>
      <c r="M207" s="220"/>
      <c r="N207" s="220"/>
      <c r="O207" s="220"/>
    </row>
    <row r="208" spans="1:15" x14ac:dyDescent="0.25">
      <c r="A208" s="218"/>
      <c r="B208" s="235">
        <f t="shared" si="9"/>
        <v>7.8</v>
      </c>
      <c r="C208" s="180" t="s">
        <v>6</v>
      </c>
      <c r="D208" s="27"/>
      <c r="E208" s="28" t="b">
        <f>IF(D201=1, "SaTo pan", IF(D201=2, "Slab with pan", IF(D201=3, "Easy Latrine", IF(D201=4, "Ceramic pan, tiled latrine"))))</f>
        <v>0</v>
      </c>
      <c r="F208" s="16"/>
      <c r="G208" s="16"/>
      <c r="H208" s="221"/>
      <c r="I208" s="221"/>
      <c r="J208" s="222"/>
      <c r="K208" s="223"/>
      <c r="L208" s="220"/>
      <c r="M208" s="220"/>
      <c r="N208" s="220"/>
      <c r="O208" s="220"/>
    </row>
    <row r="209" spans="1:15" x14ac:dyDescent="0.25">
      <c r="A209" s="218"/>
      <c r="B209" s="235">
        <f t="shared" si="9"/>
        <v>7.9</v>
      </c>
      <c r="C209" s="180" t="s">
        <v>17</v>
      </c>
      <c r="D209" s="27"/>
      <c r="E209" s="28" t="str">
        <f>IF(D203=1, "Network", IF(D203=2, "OSS", IF(D203=3, "TSP", "ERROR")))</f>
        <v>ERROR</v>
      </c>
      <c r="F209" s="16"/>
      <c r="G209" s="16"/>
      <c r="H209" s="221"/>
      <c r="I209" s="221"/>
      <c r="J209" s="222"/>
      <c r="K209" s="223"/>
      <c r="L209" s="220"/>
      <c r="M209" s="220"/>
      <c r="N209" s="220"/>
      <c r="O209" s="220"/>
    </row>
    <row r="210" spans="1:15" x14ac:dyDescent="0.25">
      <c r="A210" s="218"/>
      <c r="B210" s="278">
        <f t="shared" si="9"/>
        <v>7.1</v>
      </c>
      <c r="C210" s="181" t="s">
        <v>40</v>
      </c>
      <c r="D210" s="32"/>
      <c r="E210" s="30" t="e">
        <f>IF(D202=1, "Passive", IF(D202=2, "Self-marketing", IF(D202=3, "Sales agents", ERROR)))</f>
        <v>#NAME?</v>
      </c>
      <c r="F210" s="16"/>
      <c r="G210" s="16"/>
      <c r="H210" s="221"/>
      <c r="I210" s="221"/>
      <c r="J210" s="222"/>
      <c r="K210" s="223"/>
      <c r="L210" s="220"/>
      <c r="M210" s="220"/>
      <c r="N210" s="220"/>
      <c r="O210" s="220"/>
    </row>
    <row r="211" spans="1:15" x14ac:dyDescent="0.25">
      <c r="A211" s="218"/>
      <c r="B211" s="235"/>
      <c r="C211" s="235"/>
      <c r="D211" s="10"/>
      <c r="E211" s="16"/>
      <c r="F211" s="16"/>
      <c r="G211" s="16"/>
      <c r="H211" s="221"/>
      <c r="I211" s="221"/>
      <c r="J211" s="222"/>
      <c r="K211" s="223"/>
      <c r="L211" s="220"/>
      <c r="M211" s="220"/>
      <c r="N211" s="220"/>
      <c r="O211" s="220"/>
    </row>
    <row r="212" spans="1:15" x14ac:dyDescent="0.25">
      <c r="A212" s="218"/>
      <c r="B212" s="235"/>
      <c r="C212" s="17" t="s">
        <v>161</v>
      </c>
      <c r="D212" s="10"/>
      <c r="E212" s="16"/>
      <c r="F212" s="221"/>
      <c r="G212" s="221"/>
      <c r="H212" s="221"/>
      <c r="I212" s="221"/>
      <c r="J212" s="222"/>
      <c r="K212" s="223"/>
      <c r="L212" s="220"/>
      <c r="M212" s="220"/>
      <c r="N212" s="220"/>
      <c r="O212" s="220"/>
    </row>
    <row r="213" spans="1:15" x14ac:dyDescent="0.25">
      <c r="A213" s="218"/>
      <c r="B213" s="236">
        <f>B153+1</f>
        <v>7.11</v>
      </c>
      <c r="C213" s="176" t="s">
        <v>123</v>
      </c>
      <c r="D213" s="237"/>
      <c r="E213" s="171" t="e">
        <f>IF(AND(D199=3,D201=1,D203=1),NA(), VLOOKUP(CONCATENATE(VALUE($D$199),VALUE($D$203), VALUE($D$201)), $C$99:$L$135,6, FALSE)*J243)</f>
        <v>#VALUE!</v>
      </c>
      <c r="F213" s="221"/>
      <c r="G213" s="221"/>
      <c r="H213" s="221"/>
      <c r="I213" s="221"/>
      <c r="J213" s="222"/>
      <c r="K213" s="223"/>
      <c r="L213" s="220"/>
      <c r="M213" s="220"/>
      <c r="N213" s="220"/>
      <c r="O213" s="220"/>
    </row>
    <row r="214" spans="1:15" x14ac:dyDescent="0.25">
      <c r="A214" s="218"/>
      <c r="B214" s="235"/>
      <c r="C214" s="92"/>
      <c r="D214" s="16"/>
      <c r="E214" s="16"/>
      <c r="F214" s="221"/>
      <c r="G214" s="221"/>
      <c r="H214" s="221"/>
      <c r="I214" s="221"/>
      <c r="J214" s="222"/>
      <c r="K214" s="223"/>
      <c r="L214" s="220"/>
      <c r="M214" s="220"/>
      <c r="N214" s="220"/>
      <c r="O214" s="220"/>
    </row>
    <row r="215" spans="1:15" x14ac:dyDescent="0.25">
      <c r="A215" s="218"/>
      <c r="B215" s="235"/>
      <c r="C215" s="17" t="s">
        <v>187</v>
      </c>
      <c r="D215" s="16"/>
      <c r="E215" s="16"/>
      <c r="F215" s="221"/>
      <c r="G215" s="221"/>
      <c r="H215" s="221"/>
      <c r="I215" s="221"/>
      <c r="J215" s="222"/>
      <c r="K215" s="223"/>
      <c r="L215" s="220"/>
      <c r="M215" s="220"/>
      <c r="N215" s="220"/>
      <c r="O215" s="220"/>
    </row>
    <row r="216" spans="1:15" x14ac:dyDescent="0.25">
      <c r="A216" s="218"/>
      <c r="B216" s="235">
        <f>B156+1</f>
        <v>7.12</v>
      </c>
      <c r="C216" s="178" t="s">
        <v>121</v>
      </c>
      <c r="D216" s="26"/>
      <c r="E216" s="213" t="str">
        <f>E206</f>
        <v>ERROR</v>
      </c>
      <c r="F216" s="221"/>
      <c r="G216" s="221"/>
      <c r="H216" s="221"/>
      <c r="I216" s="221"/>
      <c r="J216" s="222"/>
      <c r="K216" s="223"/>
      <c r="L216" s="220"/>
      <c r="M216" s="220"/>
      <c r="N216" s="220"/>
      <c r="O216" s="220"/>
    </row>
    <row r="217" spans="1:15" x14ac:dyDescent="0.25">
      <c r="A217" s="218"/>
      <c r="B217" s="235">
        <f t="shared" ref="B217:B224" si="10">B157+1</f>
        <v>7.13</v>
      </c>
      <c r="C217" s="180" t="s">
        <v>6</v>
      </c>
      <c r="D217" s="28"/>
      <c r="E217" s="214" t="b">
        <f>E208</f>
        <v>0</v>
      </c>
      <c r="F217" s="221"/>
      <c r="G217" s="221"/>
      <c r="H217" s="221"/>
      <c r="I217" s="221"/>
      <c r="J217" s="222"/>
      <c r="K217" s="223"/>
      <c r="L217" s="220"/>
      <c r="M217" s="220"/>
      <c r="N217" s="220"/>
      <c r="O217" s="220"/>
    </row>
    <row r="218" spans="1:15" x14ac:dyDescent="0.25">
      <c r="A218" s="218"/>
      <c r="B218" s="235">
        <f t="shared" si="10"/>
        <v>7.14</v>
      </c>
      <c r="C218" s="180" t="s">
        <v>194</v>
      </c>
      <c r="D218" s="28"/>
      <c r="E218" s="215" t="e">
        <f>IF(E203="Network",0,INDEX($D$71:$G$73,D199,D201))</f>
        <v>#VALUE!</v>
      </c>
      <c r="F218" s="221"/>
      <c r="G218" s="221"/>
      <c r="H218" s="221"/>
      <c r="I218" s="221"/>
      <c r="J218" s="222"/>
      <c r="K218" s="223"/>
      <c r="L218" s="220"/>
      <c r="M218" s="220"/>
      <c r="N218" s="220"/>
      <c r="O218" s="220"/>
    </row>
    <row r="219" spans="1:15" x14ac:dyDescent="0.25">
      <c r="A219" s="218"/>
      <c r="B219" s="235">
        <f t="shared" si="10"/>
        <v>7.15</v>
      </c>
      <c r="C219" s="180" t="s">
        <v>195</v>
      </c>
      <c r="D219" s="28"/>
      <c r="E219" s="215" t="e">
        <f>E218*J243</f>
        <v>#VALUE!</v>
      </c>
      <c r="F219" s="221"/>
      <c r="G219" s="221"/>
      <c r="H219" s="221"/>
      <c r="I219" s="221"/>
      <c r="J219" s="222"/>
      <c r="K219" s="223"/>
      <c r="L219" s="220"/>
      <c r="M219" s="220"/>
      <c r="N219" s="220"/>
      <c r="O219" s="220"/>
    </row>
    <row r="220" spans="1:15" x14ac:dyDescent="0.25">
      <c r="A220" s="218"/>
      <c r="B220" s="235">
        <f t="shared" si="10"/>
        <v>7.16</v>
      </c>
      <c r="C220" s="180" t="s">
        <v>166</v>
      </c>
      <c r="D220" s="28"/>
      <c r="E220" s="215" t="e">
        <f>E210</f>
        <v>#NAME?</v>
      </c>
      <c r="F220" s="221"/>
      <c r="G220" s="221"/>
      <c r="H220" s="221"/>
      <c r="I220" s="221"/>
      <c r="J220" s="222"/>
      <c r="K220" s="223"/>
      <c r="L220" s="220"/>
      <c r="M220" s="220"/>
      <c r="N220" s="220"/>
      <c r="O220" s="220"/>
    </row>
    <row r="221" spans="1:15" x14ac:dyDescent="0.25">
      <c r="A221" s="218"/>
      <c r="B221" s="235">
        <f t="shared" si="10"/>
        <v>7.17</v>
      </c>
      <c r="C221" s="180" t="s">
        <v>192</v>
      </c>
      <c r="D221" s="28"/>
      <c r="E221" s="216">
        <f>IF(D202=3, $E$66,0)</f>
        <v>0</v>
      </c>
      <c r="F221" s="221"/>
      <c r="G221" s="221"/>
      <c r="H221" s="221"/>
      <c r="I221" s="221"/>
      <c r="J221" s="222"/>
      <c r="K221" s="223"/>
      <c r="L221" s="220"/>
      <c r="M221" s="220"/>
      <c r="N221" s="220"/>
      <c r="O221" s="220"/>
    </row>
    <row r="222" spans="1:15" x14ac:dyDescent="0.25">
      <c r="A222" s="218"/>
      <c r="B222" s="235">
        <f t="shared" si="10"/>
        <v>7.18</v>
      </c>
      <c r="C222" s="180" t="s">
        <v>191</v>
      </c>
      <c r="D222" s="28"/>
      <c r="E222" s="184">
        <f>($D$64-$D$62)/$D$64</f>
        <v>0.66666666666666663</v>
      </c>
      <c r="F222" s="221"/>
      <c r="G222" s="221"/>
      <c r="H222" s="221"/>
      <c r="I222" s="221"/>
      <c r="J222" s="222"/>
      <c r="K222" s="223"/>
      <c r="L222" s="220"/>
      <c r="M222" s="220"/>
      <c r="N222" s="220"/>
      <c r="O222" s="220"/>
    </row>
    <row r="223" spans="1:15" x14ac:dyDescent="0.25">
      <c r="A223" s="218"/>
      <c r="B223" s="235">
        <f t="shared" si="10"/>
        <v>7.19</v>
      </c>
      <c r="C223" s="180" t="s">
        <v>208</v>
      </c>
      <c r="D223" s="252"/>
      <c r="E223" s="217" t="e">
        <f>E221*E222*J243*E230</f>
        <v>#VALUE!</v>
      </c>
      <c r="F223" s="221"/>
      <c r="G223" s="221"/>
      <c r="H223" s="221"/>
      <c r="I223" s="221"/>
      <c r="J223" s="222"/>
      <c r="K223" s="223"/>
      <c r="L223" s="220"/>
      <c r="M223" s="220"/>
      <c r="N223" s="220"/>
      <c r="O223" s="220"/>
    </row>
    <row r="224" spans="1:15" x14ac:dyDescent="0.25">
      <c r="A224" s="218"/>
      <c r="B224" s="278">
        <f t="shared" si="10"/>
        <v>7.2</v>
      </c>
      <c r="C224" s="176" t="s">
        <v>193</v>
      </c>
      <c r="D224" s="24"/>
      <c r="E224" s="171" t="e">
        <f>E219+E223</f>
        <v>#VALUE!</v>
      </c>
      <c r="F224" s="221"/>
      <c r="G224" s="221"/>
      <c r="H224" s="221"/>
      <c r="I224" s="221"/>
      <c r="J224" s="222"/>
      <c r="K224" s="223"/>
      <c r="L224" s="220"/>
      <c r="M224" s="220"/>
      <c r="N224" s="220"/>
      <c r="O224" s="220"/>
    </row>
    <row r="225" spans="1:15" x14ac:dyDescent="0.25">
      <c r="A225" s="218"/>
      <c r="B225" s="220"/>
      <c r="C225" s="224"/>
      <c r="D225" s="221"/>
      <c r="E225" s="221"/>
      <c r="F225" s="221"/>
      <c r="G225" s="221"/>
      <c r="H225" s="221"/>
      <c r="I225" s="221"/>
      <c r="J225" s="222"/>
      <c r="K225" s="223"/>
      <c r="L225" s="220"/>
      <c r="M225" s="220"/>
      <c r="N225" s="220"/>
      <c r="O225" s="220"/>
    </row>
    <row r="226" spans="1:15" x14ac:dyDescent="0.25">
      <c r="A226" s="218"/>
      <c r="B226" s="220"/>
      <c r="C226" s="17" t="s">
        <v>120</v>
      </c>
      <c r="D226" s="16"/>
      <c r="E226" s="16"/>
      <c r="F226" s="221"/>
      <c r="G226" s="221"/>
      <c r="H226" s="221"/>
      <c r="I226" s="221"/>
      <c r="J226" s="222"/>
      <c r="K226" s="223"/>
      <c r="L226" s="220"/>
      <c r="M226" s="220"/>
      <c r="N226" s="220"/>
      <c r="O226" s="220"/>
    </row>
    <row r="227" spans="1:15" x14ac:dyDescent="0.25">
      <c r="A227" s="218"/>
      <c r="B227" s="278">
        <f>B167+1</f>
        <v>7.21</v>
      </c>
      <c r="C227" s="178" t="s">
        <v>119</v>
      </c>
      <c r="D227" s="26"/>
      <c r="E227" s="183" t="e">
        <f>VLOOKUP(CONCATENATE(VALUE($D$199),VALUE($D$203), VALUE($D$201)), $C$99:$L$135,7, FALSE)</f>
        <v>#VALUE!</v>
      </c>
      <c r="F227" s="221"/>
      <c r="G227" s="221"/>
      <c r="H227" s="221"/>
      <c r="I227" s="221"/>
      <c r="J227" s="222"/>
      <c r="K227" s="223"/>
      <c r="L227" s="220"/>
      <c r="M227" s="220"/>
      <c r="N227" s="220"/>
      <c r="O227" s="220"/>
    </row>
    <row r="228" spans="1:15" x14ac:dyDescent="0.25">
      <c r="A228" s="218"/>
      <c r="B228" s="278">
        <f t="shared" ref="B228:B230" si="11">B168+1</f>
        <v>7.22</v>
      </c>
      <c r="C228" s="180" t="s">
        <v>37</v>
      </c>
      <c r="D228" s="27"/>
      <c r="E228" s="184" t="str">
        <f>E207</f>
        <v>ERROR</v>
      </c>
      <c r="F228" s="221"/>
      <c r="G228" s="221"/>
      <c r="H228" s="221"/>
      <c r="I228" s="221"/>
      <c r="J228" s="222"/>
      <c r="K228" s="223"/>
      <c r="L228" s="220"/>
      <c r="M228" s="220"/>
      <c r="N228" s="220"/>
      <c r="O228" s="220"/>
    </row>
    <row r="229" spans="1:15" x14ac:dyDescent="0.25">
      <c r="A229" s="218"/>
      <c r="B229" s="278">
        <f t="shared" si="11"/>
        <v>7.23</v>
      </c>
      <c r="C229" s="180" t="s">
        <v>9</v>
      </c>
      <c r="D229" s="27"/>
      <c r="E229" s="185" t="e">
        <f>INDEX($D$46:$G$49,D201,D200)</f>
        <v>#VALUE!</v>
      </c>
      <c r="F229" s="221"/>
      <c r="G229" s="221"/>
      <c r="H229" s="221"/>
      <c r="I229" s="221"/>
      <c r="J229" s="222"/>
      <c r="K229" s="223"/>
      <c r="L229" s="220"/>
      <c r="M229" s="220"/>
      <c r="N229" s="220"/>
      <c r="O229" s="220"/>
    </row>
    <row r="230" spans="1:15" x14ac:dyDescent="0.25">
      <c r="A230" s="218"/>
      <c r="B230" s="278">
        <f t="shared" si="11"/>
        <v>7.24</v>
      </c>
      <c r="C230" s="181" t="s">
        <v>12</v>
      </c>
      <c r="D230" s="32"/>
      <c r="E230" s="201" t="e">
        <f>IF(AND(D199=3,D201=1,D203=1),NA(),E227*(1+E229))</f>
        <v>#VALUE!</v>
      </c>
      <c r="F230" s="221"/>
      <c r="G230" s="221"/>
      <c r="H230" s="221"/>
      <c r="I230" s="221"/>
      <c r="J230" s="222"/>
      <c r="K230" s="223"/>
      <c r="L230" s="220"/>
      <c r="M230" s="220"/>
      <c r="N230" s="220"/>
      <c r="O230" s="220"/>
    </row>
    <row r="231" spans="1:15" x14ac:dyDescent="0.25">
      <c r="A231" s="218"/>
      <c r="B231" s="220"/>
      <c r="C231" s="224"/>
      <c r="D231" s="223"/>
      <c r="E231" s="221"/>
      <c r="F231" s="221"/>
      <c r="G231" s="221"/>
      <c r="H231" s="221"/>
      <c r="I231" s="221"/>
      <c r="J231" s="222"/>
      <c r="K231" s="223"/>
      <c r="L231" s="220"/>
      <c r="M231" s="220"/>
      <c r="N231" s="220"/>
      <c r="O231" s="220"/>
    </row>
    <row r="232" spans="1:15" x14ac:dyDescent="0.25">
      <c r="A232" s="218"/>
      <c r="B232" s="220"/>
      <c r="C232" s="17" t="s">
        <v>160</v>
      </c>
      <c r="D232" s="10"/>
      <c r="E232" s="16"/>
      <c r="F232" s="16"/>
      <c r="G232" s="16"/>
      <c r="H232" s="16"/>
      <c r="I232" s="16"/>
      <c r="J232" s="209"/>
      <c r="K232" s="223"/>
      <c r="L232" s="220"/>
      <c r="M232" s="220"/>
      <c r="N232" s="220"/>
      <c r="O232" s="220"/>
    </row>
    <row r="233" spans="1:15" x14ac:dyDescent="0.25">
      <c r="A233" s="218"/>
      <c r="B233" s="279">
        <f>B173+1</f>
        <v>7.25</v>
      </c>
      <c r="C233" s="178" t="s">
        <v>37</v>
      </c>
      <c r="D233" s="238"/>
      <c r="E233" s="193" t="str">
        <f>E207</f>
        <v>ERROR</v>
      </c>
      <c r="F233" s="25"/>
      <c r="G233" s="25"/>
      <c r="H233" s="25"/>
      <c r="I233" s="25"/>
      <c r="J233" s="239"/>
      <c r="K233" s="223"/>
      <c r="L233" s="220"/>
      <c r="M233" s="220"/>
      <c r="N233" s="220"/>
      <c r="O233" s="220"/>
    </row>
    <row r="234" spans="1:15" x14ac:dyDescent="0.25">
      <c r="A234" s="218"/>
      <c r="B234" s="279">
        <f t="shared" ref="B234:B236" si="12">B174+1</f>
        <v>7.26</v>
      </c>
      <c r="C234" s="180" t="s">
        <v>12</v>
      </c>
      <c r="D234" s="27"/>
      <c r="E234" s="11" t="e">
        <f>E230</f>
        <v>#VALUE!</v>
      </c>
      <c r="F234" s="16"/>
      <c r="G234" s="16"/>
      <c r="H234" s="16"/>
      <c r="I234" s="16"/>
      <c r="J234" s="240"/>
      <c r="K234" s="223"/>
      <c r="L234" s="220"/>
      <c r="M234" s="220"/>
      <c r="N234" s="220"/>
      <c r="O234" s="220"/>
    </row>
    <row r="235" spans="1:15" x14ac:dyDescent="0.25">
      <c r="A235" s="218"/>
      <c r="B235" s="279">
        <f t="shared" si="12"/>
        <v>7.27</v>
      </c>
      <c r="C235" s="180" t="s">
        <v>40</v>
      </c>
      <c r="D235" s="27"/>
      <c r="E235" s="194" t="e">
        <f>E210</f>
        <v>#NAME?</v>
      </c>
      <c r="F235" s="16"/>
      <c r="G235" s="16"/>
      <c r="H235" s="16"/>
      <c r="I235" s="16"/>
      <c r="J235" s="240"/>
      <c r="K235" s="223"/>
      <c r="L235" s="220"/>
      <c r="M235" s="220"/>
      <c r="N235" s="220"/>
      <c r="O235" s="220"/>
    </row>
    <row r="236" spans="1:15" x14ac:dyDescent="0.25">
      <c r="A236" s="218"/>
      <c r="B236" s="279">
        <f t="shared" si="12"/>
        <v>7.28</v>
      </c>
      <c r="C236" s="197" t="s">
        <v>9</v>
      </c>
      <c r="D236" s="151"/>
      <c r="E236" s="150" t="e">
        <f>E229</f>
        <v>#VALUE!</v>
      </c>
      <c r="F236" s="156"/>
      <c r="G236" s="156"/>
      <c r="H236" s="156"/>
      <c r="I236" s="156"/>
      <c r="J236" s="157"/>
      <c r="K236" s="161"/>
      <c r="L236" s="230"/>
      <c r="M236" s="230"/>
      <c r="N236" s="230"/>
      <c r="O236" s="230"/>
    </row>
    <row r="237" spans="1:15" x14ac:dyDescent="0.25">
      <c r="A237" s="218"/>
      <c r="B237" s="229"/>
      <c r="C237" s="409"/>
      <c r="D237" s="410"/>
      <c r="E237" s="411"/>
      <c r="F237" s="415" t="s">
        <v>0</v>
      </c>
      <c r="G237" s="416"/>
      <c r="H237" s="416"/>
      <c r="I237" s="416"/>
      <c r="J237" s="417"/>
      <c r="K237" s="161"/>
      <c r="L237" s="230"/>
      <c r="M237" s="230"/>
      <c r="N237" s="230"/>
      <c r="O237" s="230"/>
    </row>
    <row r="238" spans="1:15" x14ac:dyDescent="0.25">
      <c r="A238" s="218"/>
      <c r="B238" s="229"/>
      <c r="C238" s="412"/>
      <c r="D238" s="413"/>
      <c r="E238" s="414"/>
      <c r="F238" s="241" t="s">
        <v>1</v>
      </c>
      <c r="G238" s="241" t="s">
        <v>44</v>
      </c>
      <c r="H238" s="241" t="s">
        <v>167</v>
      </c>
      <c r="I238" s="241" t="s">
        <v>2</v>
      </c>
      <c r="J238" s="242" t="s">
        <v>168</v>
      </c>
      <c r="K238" s="161"/>
      <c r="L238" s="230"/>
      <c r="M238" s="230"/>
      <c r="N238" s="230"/>
      <c r="O238" s="230"/>
    </row>
    <row r="239" spans="1:15" x14ac:dyDescent="0.25">
      <c r="A239" s="218"/>
      <c r="B239" s="280">
        <f>B179+1</f>
        <v>7.29</v>
      </c>
      <c r="C239" s="178" t="s">
        <v>170</v>
      </c>
      <c r="D239" s="231"/>
      <c r="E239" s="225"/>
      <c r="F239" s="245" t="e">
        <f>$D$19*INDEX($D$25:$G$28,D201,1)</f>
        <v>#VALUE!</v>
      </c>
      <c r="G239" s="245" t="e">
        <f>$E$19*INDEX($D$25:$G$28,D201,2)</f>
        <v>#VALUE!</v>
      </c>
      <c r="H239" s="245" t="e">
        <f>$F$19*INDEX($D$25:$G$28,D201,3)</f>
        <v>#VALUE!</v>
      </c>
      <c r="I239" s="245" t="e">
        <f>$G$19*INDEX($D$25:$G$28,D201,4)</f>
        <v>#VALUE!</v>
      </c>
      <c r="J239" s="244" t="e">
        <f>SUM(F239:I239)</f>
        <v>#VALUE!</v>
      </c>
      <c r="K239" s="223"/>
      <c r="L239" s="220"/>
      <c r="M239" s="220"/>
      <c r="N239" s="220"/>
      <c r="O239" s="220"/>
    </row>
    <row r="240" spans="1:15" x14ac:dyDescent="0.25">
      <c r="A240" s="218"/>
      <c r="B240" s="280">
        <f t="shared" ref="B240:B243" si="13">B180+1</f>
        <v>7.3</v>
      </c>
      <c r="C240" s="180" t="s">
        <v>169</v>
      </c>
      <c r="D240" s="223"/>
      <c r="E240" s="226"/>
      <c r="F240" s="243" t="e">
        <f>INDEX($D$62:$G$64,$D$202,1)</f>
        <v>#VALUE!</v>
      </c>
      <c r="G240" s="243" t="e">
        <f>INDEX($D$62:$G$64,$D$202,2)</f>
        <v>#VALUE!</v>
      </c>
      <c r="H240" s="243" t="e">
        <f>INDEX($D$62:$G$64,$D$202,3)</f>
        <v>#VALUE!</v>
      </c>
      <c r="I240" s="243" t="e">
        <f>INDEX($D$62:$G$64,$D$202,4)</f>
        <v>#VALUE!</v>
      </c>
      <c r="J240" s="246"/>
      <c r="K240" s="223"/>
      <c r="L240" s="220"/>
      <c r="M240" s="220"/>
      <c r="N240" s="220"/>
      <c r="O240" s="220"/>
    </row>
    <row r="241" spans="1:15" x14ac:dyDescent="0.25">
      <c r="A241" s="218"/>
      <c r="B241" s="280">
        <f t="shared" si="13"/>
        <v>7.31</v>
      </c>
      <c r="C241" s="180" t="s">
        <v>171</v>
      </c>
      <c r="D241" s="228"/>
      <c r="E241" s="232"/>
      <c r="F241" s="247" t="e">
        <f>F239*F240</f>
        <v>#VALUE!</v>
      </c>
      <c r="G241" s="247" t="e">
        <f>G239*G240</f>
        <v>#VALUE!</v>
      </c>
      <c r="H241" s="247" t="e">
        <f>H239*H240</f>
        <v>#VALUE!</v>
      </c>
      <c r="I241" s="247" t="e">
        <f>I239*I240</f>
        <v>#VALUE!</v>
      </c>
      <c r="J241" s="248" t="e">
        <f>SUM(F241:I241)</f>
        <v>#VALUE!</v>
      </c>
      <c r="K241" s="223"/>
      <c r="L241" s="220"/>
      <c r="M241" s="220"/>
      <c r="N241" s="220"/>
      <c r="O241" s="220"/>
    </row>
    <row r="242" spans="1:15" x14ac:dyDescent="0.25">
      <c r="A242" s="218"/>
      <c r="B242" s="280">
        <f t="shared" si="13"/>
        <v>7.32</v>
      </c>
      <c r="C242" s="180" t="s">
        <v>172</v>
      </c>
      <c r="D242" s="223"/>
      <c r="E242" s="226"/>
      <c r="F242" s="249" t="e">
        <f>-$E$236*100*INDEX($D$54:$G$57,$D$201,1)</f>
        <v>#VALUE!</v>
      </c>
      <c r="G242" s="249" t="e">
        <f>-$E$236*100*INDEX($D$54:$G$57,$D$201,2)</f>
        <v>#VALUE!</v>
      </c>
      <c r="H242" s="249" t="e">
        <f>-$E$236*100*INDEX($D$54:$G$57,$D$201,3)</f>
        <v>#VALUE!</v>
      </c>
      <c r="I242" s="249" t="e">
        <f>-$E$236*100*INDEX($D$54:$G$57,$D$201,4)</f>
        <v>#VALUE!</v>
      </c>
      <c r="J242" s="250"/>
      <c r="K242" s="223"/>
      <c r="L242" s="220"/>
      <c r="M242" s="220"/>
      <c r="N242" s="220"/>
      <c r="O242" s="220"/>
    </row>
    <row r="243" spans="1:15" x14ac:dyDescent="0.25">
      <c r="A243" s="218"/>
      <c r="B243" s="280">
        <f t="shared" si="13"/>
        <v>7.33</v>
      </c>
      <c r="C243" s="181" t="s">
        <v>173</v>
      </c>
      <c r="D243" s="233"/>
      <c r="E243" s="227"/>
      <c r="F243" s="251" t="e">
        <f>F241*(1+F242)</f>
        <v>#VALUE!</v>
      </c>
      <c r="G243" s="251" t="e">
        <f>G241*(1+G242)</f>
        <v>#VALUE!</v>
      </c>
      <c r="H243" s="251" t="e">
        <f>H241*(1+H242)</f>
        <v>#VALUE!</v>
      </c>
      <c r="I243" s="251" t="e">
        <f>I241*(1+I242)</f>
        <v>#VALUE!</v>
      </c>
      <c r="J243" s="200" t="e">
        <f>SUM(F243:I243)</f>
        <v>#VALUE!</v>
      </c>
      <c r="K243" s="223"/>
      <c r="L243" s="220"/>
      <c r="M243" s="220"/>
      <c r="N243" s="220"/>
      <c r="O243" s="220"/>
    </row>
    <row r="244" spans="1:15" x14ac:dyDescent="0.25">
      <c r="A244" s="218"/>
      <c r="B244" s="281"/>
      <c r="C244" s="224"/>
      <c r="D244" s="223"/>
      <c r="E244" s="221"/>
      <c r="F244" s="221"/>
      <c r="G244" s="221"/>
      <c r="H244" s="221"/>
      <c r="I244" s="221"/>
      <c r="J244" s="222"/>
      <c r="K244" s="223"/>
      <c r="L244" s="220"/>
      <c r="M244" s="220"/>
      <c r="N244" s="220"/>
      <c r="O244" s="220"/>
    </row>
    <row r="245" spans="1:15" x14ac:dyDescent="0.25">
      <c r="A245" s="218"/>
      <c r="B245" s="282">
        <f>B185+1</f>
        <v>7.34</v>
      </c>
      <c r="C245" s="254" t="s">
        <v>205</v>
      </c>
      <c r="D245" s="255"/>
      <c r="E245" s="201" t="e">
        <f>INDEX($E$8:$E$10,D199)</f>
        <v>#VALUE!</v>
      </c>
      <c r="F245" s="221"/>
      <c r="G245" s="221"/>
      <c r="H245" s="221"/>
      <c r="I245" s="221"/>
      <c r="J245" s="222"/>
      <c r="K245" s="223"/>
      <c r="L245" s="220"/>
      <c r="M245" s="220"/>
      <c r="N245" s="220"/>
      <c r="O245" s="220"/>
    </row>
    <row r="246" spans="1:15" x14ac:dyDescent="0.25">
      <c r="A246" s="218"/>
      <c r="B246" s="281"/>
      <c r="C246" s="224"/>
      <c r="D246" s="223"/>
      <c r="E246" s="221"/>
      <c r="F246" s="221"/>
      <c r="G246" s="221"/>
      <c r="H246" s="221"/>
      <c r="I246" s="221"/>
      <c r="J246" s="222"/>
      <c r="K246" s="223"/>
      <c r="L246" s="220"/>
      <c r="M246" s="220"/>
      <c r="N246" s="220"/>
      <c r="O246" s="220"/>
    </row>
    <row r="247" spans="1:15" x14ac:dyDescent="0.25">
      <c r="A247" s="218"/>
      <c r="B247" s="282">
        <f>B187+1</f>
        <v>7.35</v>
      </c>
      <c r="C247" s="254" t="s">
        <v>201</v>
      </c>
      <c r="D247" s="255"/>
      <c r="E247" s="201" t="e">
        <f>VLOOKUP(CONCATENATE(VALUE($D$199),VALUE($D$203), VALUE($D$201)), $C$99:$L$135,10, FALSE)</f>
        <v>#VALUE!</v>
      </c>
      <c r="F247" s="221"/>
      <c r="G247" s="221"/>
      <c r="H247" s="221"/>
      <c r="I247" s="221"/>
      <c r="J247" s="222"/>
      <c r="K247" s="223"/>
      <c r="L247" s="220"/>
      <c r="M247" s="220"/>
      <c r="N247" s="220"/>
      <c r="O247" s="220"/>
    </row>
    <row r="248" spans="1:15" x14ac:dyDescent="0.25">
      <c r="A248" s="218"/>
      <c r="B248" s="281"/>
      <c r="C248" s="224"/>
      <c r="D248" s="223"/>
      <c r="E248" s="221"/>
      <c r="F248" s="221"/>
      <c r="G248" s="221"/>
      <c r="H248" s="221"/>
      <c r="I248" s="221"/>
      <c r="J248" s="222"/>
      <c r="K248" s="223"/>
      <c r="L248" s="220"/>
      <c r="M248" s="220"/>
      <c r="N248" s="220"/>
      <c r="O248" s="220"/>
    </row>
    <row r="249" spans="1:15" x14ac:dyDescent="0.25">
      <c r="A249" s="218"/>
      <c r="B249" s="281"/>
      <c r="C249" s="17" t="s">
        <v>196</v>
      </c>
      <c r="D249" s="10"/>
      <c r="E249" s="16"/>
    </row>
    <row r="250" spans="1:15" x14ac:dyDescent="0.25">
      <c r="A250" s="218"/>
      <c r="B250" s="281">
        <f>B190+1</f>
        <v>7.36</v>
      </c>
      <c r="C250" s="178" t="s">
        <v>197</v>
      </c>
      <c r="D250" s="31"/>
      <c r="E250" s="26">
        <f>$F$11</f>
        <v>1</v>
      </c>
    </row>
    <row r="251" spans="1:15" x14ac:dyDescent="0.25">
      <c r="A251" s="218"/>
      <c r="B251" s="281">
        <f t="shared" ref="B251:B253" si="14">B191+1</f>
        <v>7.37</v>
      </c>
      <c r="C251" s="180" t="s">
        <v>198</v>
      </c>
      <c r="D251" s="27"/>
      <c r="E251" s="28" t="e">
        <f>J243</f>
        <v>#VALUE!</v>
      </c>
    </row>
    <row r="252" spans="1:15" x14ac:dyDescent="0.25">
      <c r="A252" s="218"/>
      <c r="B252" s="281">
        <f t="shared" si="14"/>
        <v>7.38</v>
      </c>
      <c r="C252" s="180" t="s">
        <v>230</v>
      </c>
      <c r="D252" s="27"/>
      <c r="E252" s="28" t="e">
        <f>VLOOKUP(CONCATENATE(VALUE($D$199),VALUE($D$203), VALUE($D$201)), $C$99:$M$135,11, FALSE)*E251</f>
        <v>#VALUE!</v>
      </c>
    </row>
    <row r="253" spans="1:15" x14ac:dyDescent="0.25">
      <c r="A253" s="218"/>
      <c r="B253" s="281">
        <f t="shared" si="14"/>
        <v>7.39</v>
      </c>
      <c r="C253" s="181" t="s">
        <v>199</v>
      </c>
      <c r="D253" s="32"/>
      <c r="E253" s="201" t="e">
        <f>E252*E250/12</f>
        <v>#VALUE!</v>
      </c>
    </row>
    <row r="254" spans="1:15" x14ac:dyDescent="0.25">
      <c r="A254" s="218"/>
      <c r="B254" s="281"/>
    </row>
    <row r="255" spans="1:15" x14ac:dyDescent="0.25">
      <c r="A255" s="218"/>
      <c r="B255" s="283">
        <f>B195+1</f>
        <v>7.4</v>
      </c>
      <c r="C255" s="254" t="s">
        <v>41</v>
      </c>
      <c r="D255" s="255"/>
      <c r="E255" s="201" t="e">
        <f>INDEX($D$8:$D$10,D199)</f>
        <v>#VALUE!</v>
      </c>
    </row>
    <row r="256" spans="1:15" x14ac:dyDescent="0.25">
      <c r="A256" s="218"/>
    </row>
  </sheetData>
  <autoFilter ref="C99:M135"/>
  <mergeCells count="16">
    <mergeCell ref="P105:V123"/>
    <mergeCell ref="C44:C45"/>
    <mergeCell ref="D44:G44"/>
    <mergeCell ref="C52:C53"/>
    <mergeCell ref="D52:G52"/>
    <mergeCell ref="D15:G15"/>
    <mergeCell ref="C23:C24"/>
    <mergeCell ref="D23:G23"/>
    <mergeCell ref="C177:E178"/>
    <mergeCell ref="D69:G69"/>
    <mergeCell ref="C69:C70"/>
    <mergeCell ref="C60:C61"/>
    <mergeCell ref="C237:E238"/>
    <mergeCell ref="F237:J237"/>
    <mergeCell ref="D60:G60"/>
    <mergeCell ref="F177:J177"/>
  </mergeCells>
  <pageMargins left="0.7" right="0.7" top="0.75" bottom="0.75" header="0.3" footer="0.3"/>
  <pageSetup paperSize="9" orientation="portrait" r:id="rId1"/>
  <ignoredErrors>
    <ignoredError sqref="B64 B73" numberStoredAsText="1"/>
    <ignoredError sqref="E163:E164 E174 E223:E224 E23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page</vt:lpstr>
      <vt:lpstr>Overview and instructions</vt:lpstr>
      <vt:lpstr>Dashboard</vt:lpstr>
      <vt:lpstr>Assumptions and Calculations</vt:lpstr>
      <vt:lpstr>'Cover page'!Print_Area</vt:lpstr>
      <vt:lpstr>'Overview and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Anand Agarwal</dc:creator>
  <cp:lastModifiedBy>Subhash Chennuri</cp:lastModifiedBy>
  <dcterms:created xsi:type="dcterms:W3CDTF">2019-08-29T08:32:14Z</dcterms:created>
  <dcterms:modified xsi:type="dcterms:W3CDTF">2019-10-23T13:00:23Z</dcterms:modified>
</cp:coreProperties>
</file>